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tabRatio="940" activeTab="5"/>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财政拨款“三公&quot;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<sst xmlns="http://schemas.openxmlformats.org/spreadsheetml/2006/main" count="1297" uniqueCount="428">
  <si>
    <t>收入支出决算总表</t>
  </si>
  <si>
    <t>公开01表</t>
  </si>
  <si>
    <t>部门：岳阳县自然资源局</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</si>
  <si>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</si>
  <si>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</si>
  <si>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</si>
  <si>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</si>
  <si>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</si>
  <si>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</si>
  <si>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</si>
  <si>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</si>
  <si>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</si>
  <si>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</si>
  <si>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</si>
  <si>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</si>
  <si>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</si>
  <si>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</si>
  <si>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</si>
  <si>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</si>
  <si>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</si>
  <si>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</si>
  <si>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</si>
  <si>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</si>
  <si>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</si>
  <si>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</si>
  <si>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</si>
  <si>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</si>
  <si>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</si>
  <si>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</si>
  <si>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</si>
  <si>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</si>
  <si>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</si>
  <si>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</si>
  <si>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</si>
  <si>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</si>
  <si>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</si>
  <si>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</si>
  <si>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</si>
  <si>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</si>
  <si>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</si>
  <si>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</si>
  <si>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</si>
  <si>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</si>
  <si>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</si>
  <si>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</si>
  <si>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</si>
  <si>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</si>
  <si>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</si>
  <si>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</si>
  <si>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</si>
  <si>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</si>
  <si>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</si>
  <si>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</si>
  <si>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</si>
  <si>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</si>
  <si>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</si>
  <si>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</si>
  <si>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</si>
  <si>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</si>
  <si>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</si>
  <si>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</si>
  <si>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</si>
  <si>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</si>
  <si>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</si>
  <si>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</si>
  <si>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</si>
  <si>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</si>
  <si>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</si>
  <si>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</si>
  <si>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</si>
  <si>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</si>
  <si>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</si>
  <si>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</si>
  <si>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</si>
  <si>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</si>
  <si>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</si>
  <si>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</si>
  <si>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</si>
  <si>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</si>
  <si>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</si>
  <si>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</si>
  <si>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</si>
  <si>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</si>
  <si>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</si>
  <si>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</si>
  <si>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</si>
  <si>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</si>
  <si>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</si>
  <si>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</si>
  <si>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</si>
  <si>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</si>
  <si>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</si>
  <si>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</si>
  <si>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</si>
  <si>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</si>
  <si>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</si>
  <si>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</si>
  <si>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</si>
  <si>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</si>
  <si>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</si>
  <si>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</si>
  <si>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</si>
  <si>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</si>
  <si>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</si>
  <si>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</si>
  <si>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</si>
  <si>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</si>
  <si>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</si>
  <si>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</si>
  <si>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</si>
  <si>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</si>
  <si>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</si>
  <si>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</si>
  <si>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</si>
  <si>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</si>
  <si>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</si>
  <si>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</si>
  <si>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</si>
  <si>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</si>
  <si>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科目名称</t>
  </si>
  <si>
    <t>财政拨款收入</t>
  </si>
  <si>
    <t>上级补助收入</t>
  </si>
  <si>
    <t>事业收入</t>
  </si>
  <si>
    <t>经营收入</t>
  </si>
  <si>
    <t>附属单位上缴收入</t>
  </si>
  <si>
    <t>其他收入</t>
  </si>
  <si>
    <t>功能分类科目编码</t>
  </si>
  <si>
    <t>小计</t>
  </si>
  <si>
    <t>款</t>
  </si>
  <si>
    <t>项</t>
  </si>
  <si>
    <t>合计</t>
  </si>
  <si>
    <t>208</t>
  </si>
  <si>
    <t>社会保障和就业支出</t>
  </si>
  <si>
    <t>20805</t>
  </si>
  <si>
    <t>行政事业单位养老支出</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</si>
  <si>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</si>
  <si>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</si>
  <si>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</si>
  <si>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</si>
  <si>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</si>
  <si>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</si>
  <si>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</si>
  <si>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</si>
  <si>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</si>
  <si>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</si>
  <si>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</si>
  <si>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</si>
  <si>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</si>
  <si>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</si>
  <si>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</si>
  <si>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公务员医疗补助</t>
  </si>
  <si>
    <t>212</t>
  </si>
  <si>
    <t>城乡社区支出</t>
  </si>
  <si>
    <t>21208</t>
  </si>
  <si>
    <t>国有土地使用权出让收入安排的支出</t>
  </si>
  <si>
    <t>2120802</t>
  </si>
  <si>
    <t>土地开发支出</t>
  </si>
  <si>
    <t>2120899</t>
  </si>
  <si>
    <t>其他国有土地使用权出让收入安排的支出</t>
  </si>
  <si>
    <t>教育支出</t>
  </si>
  <si>
    <t>普通教育</t>
  </si>
  <si>
    <t>其他普通教育支出</t>
  </si>
  <si>
    <t>220</t>
  </si>
  <si>
    <t>自然资源海洋气象等支出</t>
  </si>
  <si>
    <t>22001</t>
  </si>
  <si>
    <t>自然资源事务</t>
  </si>
  <si>
    <t>2200101</t>
  </si>
  <si>
    <t>行政运行</t>
  </si>
  <si>
    <t>2200104</t>
  </si>
  <si>
    <t>自然资源规划及管理</t>
  </si>
  <si>
    <t>2200106</t>
  </si>
  <si>
    <t>自然资源利用与保护</t>
  </si>
  <si>
    <t>2200199</t>
  </si>
  <si>
    <t>其他自然资源事务支出</t>
  </si>
  <si>
    <t>221</t>
  </si>
  <si>
    <t>住房保障支出</t>
  </si>
  <si>
    <t>22102</t>
  </si>
  <si>
    <t>住房改革支出</t>
  </si>
  <si>
    <t>2210201</t>
  </si>
  <si>
    <t>住房公积金</t>
  </si>
  <si>
    <t>223</t>
  </si>
  <si>
    <t>国有资本经营预算支出</t>
  </si>
  <si>
    <t>22399</t>
  </si>
  <si>
    <t>其他国有资本经营预算支出</t>
  </si>
  <si>
    <t>2239999</t>
  </si>
  <si>
    <t>224</t>
  </si>
  <si>
    <t>灾害防治及应急管理支出</t>
  </si>
  <si>
    <t>22406</t>
  </si>
  <si>
    <t>自然灾害防治</t>
  </si>
  <si>
    <t>2240601</t>
  </si>
  <si>
    <t>地质灾害防治</t>
  </si>
  <si>
    <t>229</t>
  </si>
  <si>
    <t>其他支出</t>
  </si>
  <si>
    <t>其他政府性基金及对应专项债务收入安排的支出</t>
  </si>
  <si>
    <t>其他政府性基金安排的支出</t>
  </si>
  <si>
    <t>22999</t>
  </si>
  <si>
    <t>2299999</t>
  </si>
  <si>
    <t>注：本表反映部门本年度取得的各项收入情况。</t>
  </si>
  <si>
    <t>—2.%d —</t>
  </si>
  <si>
    <t>支出决算表</t>
  </si>
  <si>
    <t>公开03表</t>
  </si>
  <si>
    <t>基本支出</t>
  </si>
  <si>
    <t>项目支出</t>
  </si>
  <si>
    <t>上缴上级支出</t>
  </si>
  <si>
    <t>经营支出</t>
  </si>
  <si>
    <t>对附属单位补助支出</t>
  </si>
  <si>
    <t>注：本表反映部门本年度各项支出情况。</t>
  </si>
  <si>
    <t>— 3.%d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</si>
  <si>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</si>
  <si>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</si>
  <si>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</si>
  <si>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</si>
  <si>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</si>
  <si>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</si>
  <si>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</si>
  <si>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</si>
  <si>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</si>
  <si>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</si>
  <si>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</si>
  <si>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</si>
  <si>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</si>
  <si>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</si>
  <si>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</si>
  <si>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</si>
  <si>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</si>
  <si>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</si>
  <si>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2.本表以“万元”为金额单位（保留两位小数）。</t>
  </si>
  <si>
    <t>— 4 —</t>
  </si>
  <si>
    <t>一般公共预算财政拨款支出决算表</t>
  </si>
  <si>
    <t>公开05表</t>
  </si>
  <si>
    <t>本年支出</t>
  </si>
  <si>
    <t xml:space="preserve">                                                                                                                                                                                                                                                                                                                                                   </t>
  </si>
  <si>
    <t xml:space="preserve">                                                           </t>
  </si>
  <si>
    <t xml:space="preserve">                                                                                                                                                                                                                                                                                                            </t>
  </si>
  <si>
    <t>注：本表反映部门本年度一般公共预算财政拨款支出情况。</t>
  </si>
  <si>
    <t>— 5.%d —</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</si>
  <si>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</si>
  <si>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</si>
  <si>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</si>
  <si>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</si>
  <si>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</si>
  <si>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</si>
  <si>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</si>
  <si>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</si>
  <si>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</si>
  <si>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</si>
  <si>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</si>
  <si>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</si>
  <si>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</si>
  <si>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</si>
  <si>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</si>
  <si>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</si>
  <si>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</si>
  <si>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</si>
  <si>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</si>
  <si>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</si>
  <si>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</si>
  <si>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</si>
  <si>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</si>
  <si>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</si>
  <si>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</si>
  <si>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</si>
  <si>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</si>
  <si>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</si>
  <si>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</si>
  <si>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</si>
  <si>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</si>
  <si>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</si>
  <si>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</si>
  <si>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</si>
  <si>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</si>
  <si>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</si>
  <si>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</si>
  <si>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</si>
  <si>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</si>
  <si>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</si>
  <si>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</si>
  <si>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</si>
  <si>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</si>
  <si>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</si>
  <si>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</si>
  <si>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</si>
  <si>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</si>
  <si>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</si>
  <si>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</si>
  <si>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</si>
  <si>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</si>
  <si>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</si>
  <si>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</si>
  <si>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</si>
  <si>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</si>
  <si>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</si>
  <si>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</si>
  <si>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</si>
  <si>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</si>
  <si>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</si>
  <si>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</si>
  <si>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</si>
  <si>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</si>
  <si>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</si>
  <si>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</si>
  <si>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</si>
  <si>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</si>
  <si>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</si>
  <si>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</si>
  <si>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</si>
  <si>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</si>
  <si>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</si>
  <si>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</si>
  <si>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</si>
  <si>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</si>
  <si>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</si>
  <si>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</si>
  <si>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</si>
  <si>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</si>
  <si>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</si>
  <si>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</si>
  <si>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</si>
  <si>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</si>
  <si>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</si>
  <si>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</si>
  <si>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</si>
  <si>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</si>
  <si>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</si>
  <si>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</si>
  <si>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</si>
  <si>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</si>
  <si>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</si>
  <si>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</si>
  <si>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</si>
  <si>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</si>
  <si>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</si>
  <si>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</si>
  <si>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</si>
  <si>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</si>
  <si>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</si>
  <si>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</si>
  <si>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</si>
  <si>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</si>
  <si>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</si>
  <si>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</si>
  <si>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</si>
  <si>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</si>
  <si>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</si>
  <si>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</si>
  <si>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</si>
  <si>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</si>
  <si>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</si>
  <si>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</si>
  <si>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</si>
  <si>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</si>
  <si>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</si>
  <si>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</si>
  <si>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</si>
  <si>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</si>
  <si>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</si>
  <si>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</si>
  <si>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</si>
  <si>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</si>
  <si>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</si>
  <si>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</si>
  <si>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</si>
  <si>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</si>
  <si>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</si>
  <si>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</si>
  <si>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</si>
  <si>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</si>
  <si>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</si>
  <si>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</si>
  <si>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</si>
  <si>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</si>
  <si>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</si>
  <si>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</si>
  <si>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</si>
  <si>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</si>
  <si>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</si>
  <si>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</si>
  <si>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</si>
  <si>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</si>
  <si>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</si>
  <si>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</si>
  <si>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</si>
  <si>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</si>
  <si>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</si>
  <si>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</si>
  <si>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</si>
  <si>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</si>
  <si>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</si>
  <si>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</si>
  <si>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</si>
  <si>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</si>
  <si>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</si>
  <si>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</si>
  <si>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</si>
  <si>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</si>
  <si>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</si>
  <si>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</si>
  <si>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</si>
  <si>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</si>
  <si>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</si>
  <si>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</si>
  <si>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</si>
  <si>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</si>
  <si>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</si>
  <si>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</si>
  <si>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</si>
  <si>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</si>
  <si>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</si>
  <si>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</si>
  <si>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项     目</t>
  </si>
  <si>
    <t>本年收入</t>
  </si>
  <si>
    <t>栏  次</t>
  </si>
  <si>
    <t>合  计</t>
  </si>
  <si>
    <t>注：本表反映部门本年度政府性基金预算财政拨款收入、支出及结转和结余情况。</t>
  </si>
  <si>
    <t>国有资本经营预算财政拨款支出决算表</t>
  </si>
  <si>
    <t>公开08表</t>
  </si>
  <si>
    <t>注：本表反映部门本年度国有资本经营预算财政拨款收入、支出及结转和结余情况。</t>
  </si>
  <si>
    <t>— 8.%d —</t>
  </si>
  <si>
    <t>财政拨款“三公"经费支出决算表</t>
  </si>
  <si>
    <t>公开09表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</si>
  <si>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</si>
  <si>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</si>
  <si>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</si>
  <si>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</si>
  <si>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</si>
  <si>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</si>
  <si>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注：本表反映部门本年度“三公”经费支出预决算情况。其中，预算数为“三公”经费全年预算数，反映按规定程序调整后的预算数；决算数是包括当年财政拨款和以前年度结转资金安排的实际支出。</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</si>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</sst>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_);_(\$* \(#,##0\);_(\$* &quot;-&quot;_);_(@_)"/>
    <numFmt numFmtId="177" formatCode="_(\$* #,##0.00_);_(\$* \(#,##0.00\);_(\$* &quot;-&quot;??_);_(@_)"/>
    <numFmt numFmtId="178" formatCode="_(* #,##0.00_);_(* \(#,##0.00\);_(* &quot;-&quot;??_);_(@_)"/>
    <numFmt numFmtId="179" formatCode="#,##0.00_ "/>
  </numFmts>
  <fonts count="41">
    <font>
      <sz val="10"/>
      <color indexed="8"/>
      <name val="Arial"/>
      <charset val="0"/>
    </font>
    <font>
      <sz val="9"/>
      <color indexed="8"/>
      <name val="宋体"/>
      <charset val="134"/>
      <scheme val="minor"/>
    </font>
    <font>
      <b/>
      <sz val="9"/>
      <color indexed="8"/>
      <name val="宋体"/>
      <charset val="134"/>
      <scheme val="minor"/>
    </font>
    <font>
      <b/>
      <sz val="12"/>
      <color indexed="8"/>
      <name val="宋体"/>
      <charset val="134"/>
    </font>
    <font>
      <b/>
      <sz val="12"/>
      <color indexed="8"/>
      <name val="Arial"/>
      <charset val="0"/>
    </font>
    <font>
      <sz val="9"/>
      <color rgb="FF000000"/>
      <name val="宋体"/>
      <charset val="134"/>
    </font>
    <font>
      <sz val="10"/>
      <color indexed="8"/>
      <name val="宋体"/>
      <charset val="134"/>
    </font>
    <font>
      <sz val="9"/>
      <color indexed="8"/>
      <name val="宋体"/>
      <charset val="134"/>
    </font>
    <font>
      <b/>
      <sz val="11"/>
      <color indexed="8"/>
      <name val="宋体"/>
      <charset val="134"/>
      <scheme val="minor"/>
    </font>
    <font>
      <sz val="11"/>
      <color indexed="8"/>
      <name val="宋体"/>
      <charset val="134"/>
      <scheme val="minor"/>
    </font>
    <font>
      <b/>
      <sz val="10"/>
      <color indexed="8"/>
      <name val="Arial"/>
      <charset val="0"/>
    </font>
    <font>
      <b/>
      <sz val="9"/>
      <color rgb="FF000000"/>
      <name val="宋体"/>
      <charset val="134"/>
    </font>
    <font>
      <sz val="11"/>
      <color indexed="8"/>
      <name val="宋体"/>
      <charset val="134"/>
    </font>
    <font>
      <sz val="9"/>
      <color indexed="8"/>
      <name val="Arial"/>
      <charset val="0"/>
    </font>
    <font>
      <b/>
      <sz val="9"/>
      <color indexed="8"/>
      <name val="Arial"/>
      <charset val="0"/>
    </font>
    <font>
      <b/>
      <sz val="9"/>
      <color indexed="8"/>
      <name val="宋体"/>
      <charset val="134"/>
    </font>
    <font>
      <b/>
      <sz val="9"/>
      <color rgb="FF000000"/>
      <name val="宋体"/>
      <charset val="134"/>
      <scheme val="minor"/>
    </font>
    <font>
      <sz val="9"/>
      <color rgb="FF000000"/>
      <name val="宋体"/>
      <charset val="134"/>
      <scheme val="minor"/>
    </font>
    <font>
      <sz val="9"/>
      <color indexed="8"/>
      <name val="宋体"/>
      <charset val="134"/>
      <scheme val="major"/>
    </font>
    <font>
      <b/>
      <sz val="9"/>
      <color indexed="8"/>
      <name val="宋体"/>
      <charset val="134"/>
      <scheme val="major"/>
    </font>
    <font>
      <sz val="9"/>
      <color rgb="FF000000"/>
      <name val="宋体"/>
      <charset val="134"/>
      <scheme val="major"/>
    </font>
    <font>
      <b/>
      <sz val="9"/>
      <color rgb="FF000000"/>
      <name val="宋体"/>
      <charset val="134"/>
      <scheme val="maj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auto="1"/>
      </left>
      <right style="thin">
        <color auto="1"/>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indexed="8"/>
      </left>
      <right style="thin">
        <color indexed="8"/>
      </right>
      <top style="thin">
        <color indexed="8"/>
      </top>
      <bottom style="thin">
        <color auto="1"/>
      </bottom>
      <diagonal/>
    </border>
    <border>
      <left style="thin">
        <color indexed="8"/>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indexed="8"/>
      </left>
      <right style="thin">
        <color indexed="8"/>
      </right>
      <top style="thin">
        <color auto="1"/>
      </top>
      <bottom style="thin">
        <color auto="1"/>
      </bottom>
      <diagonal/>
    </border>
    <border>
      <left style="thin">
        <color indexed="8"/>
      </left>
      <right style="thin">
        <color auto="1"/>
      </right>
      <top style="thin">
        <color auto="1"/>
      </top>
      <bottom style="thin">
        <color auto="1"/>
      </bottom>
      <diagonal/>
    </border>
    <border>
      <left style="thin">
        <color indexed="8"/>
      </left>
      <right style="thin">
        <color indexed="8"/>
      </right>
      <top style="thin">
        <color auto="1"/>
      </top>
      <bottom style="thin">
        <color indexed="8"/>
      </bottom>
      <diagonal/>
    </border>
    <border>
      <left style="thin">
        <color indexed="8"/>
      </left>
      <right style="thin">
        <color auto="1"/>
      </right>
      <top style="thin">
        <color auto="1"/>
      </top>
      <bottom style="thin">
        <color indexed="8"/>
      </bottom>
      <diagonal/>
    </border>
    <border>
      <left/>
      <right style="thin">
        <color indexed="8"/>
      </right>
      <top/>
      <bottom style="medium">
        <color indexed="8"/>
      </bottom>
      <diagonal/>
    </border>
    <border>
      <left/>
      <right style="thin">
        <color indexed="8"/>
      </right>
      <top/>
      <bottom/>
      <diagonal/>
    </border>
    <border>
      <left style="thin">
        <color indexed="8"/>
      </left>
      <right style="thin">
        <color indexed="8"/>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2" borderId="2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6" applyNumberFormat="0" applyFill="0" applyAlignment="0" applyProtection="0">
      <alignment vertical="center"/>
    </xf>
    <xf numFmtId="0" fontId="28" fillId="0" borderId="26" applyNumberFormat="0" applyFill="0" applyAlignment="0" applyProtection="0">
      <alignment vertical="center"/>
    </xf>
    <xf numFmtId="0" fontId="29" fillId="0" borderId="27" applyNumberFormat="0" applyFill="0" applyAlignment="0" applyProtection="0">
      <alignment vertical="center"/>
    </xf>
    <xf numFmtId="0" fontId="29" fillId="0" borderId="0" applyNumberFormat="0" applyFill="0" applyBorder="0" applyAlignment="0" applyProtection="0">
      <alignment vertical="center"/>
    </xf>
    <xf numFmtId="0" fontId="30" fillId="3" borderId="28" applyNumberFormat="0" applyAlignment="0" applyProtection="0">
      <alignment vertical="center"/>
    </xf>
    <xf numFmtId="0" fontId="31" fillId="4" borderId="29" applyNumberFormat="0" applyAlignment="0" applyProtection="0">
      <alignment vertical="center"/>
    </xf>
    <xf numFmtId="0" fontId="32" fillId="4" borderId="28" applyNumberFormat="0" applyAlignment="0" applyProtection="0">
      <alignment vertical="center"/>
    </xf>
    <xf numFmtId="0" fontId="33" fillId="5" borderId="30" applyNumberFormat="0" applyAlignment="0" applyProtection="0">
      <alignment vertical="center"/>
    </xf>
    <xf numFmtId="0" fontId="34" fillId="0" borderId="31" applyNumberFormat="0" applyFill="0" applyAlignment="0" applyProtection="0">
      <alignment vertical="center"/>
    </xf>
    <xf numFmtId="0" fontId="35" fillId="0" borderId="32"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cellStyleXfs>
  <cellXfs count="162">
    <xf numFmtId="0" fontId="0" fillId="0" borderId="0" xfId="0"/>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Border="1" applyAlignment="1">
      <alignment vertical="center"/>
    </xf>
    <xf numFmtId="0" fontId="0" fillId="0" borderId="0" xfId="0" applyFill="1"/>
    <xf numFmtId="0" fontId="3" fillId="0" borderId="0" xfId="0" applyFont="1" applyFill="1" applyAlignment="1">
      <alignment horizontal="center" vertical="center"/>
    </xf>
    <xf numFmtId="0" fontId="4" fillId="0" borderId="0" xfId="0" applyFont="1" applyFill="1" applyAlignment="1">
      <alignment vertical="center"/>
    </xf>
    <xf numFmtId="0" fontId="1" fillId="0" borderId="0" xfId="0" applyFont="1" applyFill="1" applyAlignment="1">
      <alignment horizontal="right" vertical="center"/>
    </xf>
    <xf numFmtId="0" fontId="2" fillId="0" borderId="1"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2" fillId="0" borderId="3" xfId="0" applyFont="1" applyFill="1" applyBorder="1" applyAlignment="1">
      <alignment horizontal="center" vertical="center" wrapText="1" shrinkToFit="1"/>
    </xf>
    <xf numFmtId="0" fontId="2" fillId="0" borderId="4" xfId="0" applyFont="1" applyFill="1" applyBorder="1" applyAlignment="1">
      <alignment horizontal="center" vertical="center" wrapText="1" shrinkToFit="1"/>
    </xf>
    <xf numFmtId="0" fontId="2" fillId="0" borderId="4" xfId="0" applyFont="1" applyFill="1" applyBorder="1" applyAlignment="1">
      <alignment horizontal="center" vertical="center" shrinkToFi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179" fontId="5" fillId="0" borderId="5" xfId="0" applyNumberFormat="1" applyFont="1" applyFill="1" applyBorder="1" applyAlignment="1">
      <alignment horizontal="right" vertical="center"/>
    </xf>
    <xf numFmtId="0" fontId="1" fillId="0" borderId="0" xfId="0" applyFont="1" applyFill="1" applyAlignment="1">
      <alignment horizontal="left" vertical="center" wrapText="1" shrinkToFit="1"/>
    </xf>
    <xf numFmtId="0" fontId="6" fillId="0" borderId="0" xfId="0" applyFont="1" applyFill="1" applyAlignment="1">
      <alignment horizontal="left" vertical="center" wrapText="1" shrinkToFit="1"/>
    </xf>
    <xf numFmtId="0" fontId="7" fillId="0" borderId="0" xfId="0" applyFont="1" applyFill="1" applyAlignment="1">
      <alignment horizontal="center"/>
    </xf>
    <xf numFmtId="0" fontId="8" fillId="0" borderId="0" xfId="0" applyFont="1" applyFill="1" applyBorder="1" applyAlignment="1">
      <alignment vertical="center"/>
    </xf>
    <xf numFmtId="0" fontId="9" fillId="0" borderId="0" xfId="0" applyFont="1" applyFill="1" applyBorder="1" applyAlignment="1">
      <alignment vertical="center"/>
    </xf>
    <xf numFmtId="0" fontId="2" fillId="0" borderId="1" xfId="0" applyFont="1" applyFill="1" applyBorder="1" applyAlignment="1">
      <alignment horizontal="center" vertical="center" wrapText="1" shrinkToFit="1"/>
    </xf>
    <xf numFmtId="0" fontId="2" fillId="0" borderId="2" xfId="0" applyFont="1" applyFill="1" applyBorder="1" applyAlignment="1">
      <alignment horizontal="center" vertical="center" wrapText="1" shrinkToFit="1"/>
    </xf>
    <xf numFmtId="0" fontId="10" fillId="0" borderId="0" xfId="0" applyFont="1" applyFill="1"/>
    <xf numFmtId="0" fontId="2" fillId="0" borderId="6" xfId="0" applyFont="1" applyFill="1" applyBorder="1" applyAlignment="1">
      <alignment horizontal="center" vertical="center" wrapText="1" shrinkToFit="1"/>
    </xf>
    <xf numFmtId="179" fontId="11" fillId="0" borderId="6" xfId="0" applyNumberFormat="1" applyFont="1" applyFill="1" applyBorder="1" applyAlignment="1">
      <alignment horizontal="right" vertical="center"/>
    </xf>
    <xf numFmtId="0" fontId="11" fillId="0" borderId="7" xfId="0" applyNumberFormat="1" applyFont="1" applyFill="1" applyBorder="1" applyAlignment="1">
      <alignment horizontal="left" vertical="center"/>
    </xf>
    <xf numFmtId="179" fontId="11" fillId="0" borderId="7" xfId="0" applyNumberFormat="1" applyFont="1" applyFill="1" applyBorder="1" applyAlignment="1">
      <alignment horizontal="right" vertical="center"/>
    </xf>
    <xf numFmtId="0" fontId="5" fillId="0" borderId="7" xfId="0" applyNumberFormat="1" applyFont="1" applyFill="1" applyBorder="1" applyAlignment="1">
      <alignment horizontal="left" vertical="center"/>
    </xf>
    <xf numFmtId="179" fontId="5" fillId="0" borderId="6" xfId="0" applyNumberFormat="1" applyFont="1" applyFill="1" applyBorder="1" applyAlignment="1">
      <alignment horizontal="right" vertical="center"/>
    </xf>
    <xf numFmtId="179" fontId="5" fillId="0" borderId="7" xfId="0" applyNumberFormat="1" applyFont="1" applyFill="1" applyBorder="1" applyAlignment="1">
      <alignment horizontal="right" vertical="center"/>
    </xf>
    <xf numFmtId="0" fontId="1" fillId="0" borderId="7" xfId="0" applyFont="1" applyFill="1" applyBorder="1" applyAlignment="1">
      <alignment horizontal="left" vertical="center" shrinkToFit="1"/>
    </xf>
    <xf numFmtId="179" fontId="1" fillId="0" borderId="7" xfId="0" applyNumberFormat="1" applyFont="1" applyFill="1" applyBorder="1" applyAlignment="1">
      <alignment horizontal="right" vertical="center" shrinkToFit="1"/>
    </xf>
    <xf numFmtId="0" fontId="1" fillId="0" borderId="8" xfId="0" applyFont="1" applyFill="1" applyBorder="1" applyAlignment="1">
      <alignment horizontal="left" vertical="center" shrinkToFit="1"/>
    </xf>
    <xf numFmtId="179" fontId="1" fillId="0" borderId="8" xfId="0" applyNumberFormat="1" applyFont="1" applyFill="1" applyBorder="1" applyAlignment="1">
      <alignment horizontal="right" vertical="center" shrinkToFit="1"/>
    </xf>
    <xf numFmtId="0" fontId="1" fillId="0" borderId="3" xfId="0" applyFont="1" applyFill="1" applyBorder="1" applyAlignment="1">
      <alignment horizontal="left" vertical="center" shrinkToFit="1"/>
    </xf>
    <xf numFmtId="0" fontId="1" fillId="0" borderId="4" xfId="0" applyFont="1" applyFill="1" applyBorder="1" applyAlignment="1">
      <alignment horizontal="left" vertical="center" shrinkToFit="1"/>
    </xf>
    <xf numFmtId="179" fontId="1" fillId="0" borderId="4" xfId="0" applyNumberFormat="1" applyFont="1" applyFill="1" applyBorder="1" applyAlignment="1">
      <alignment horizontal="right" vertical="center" shrinkToFit="1"/>
    </xf>
    <xf numFmtId="0" fontId="1" fillId="0" borderId="0" xfId="0" applyFont="1" applyFill="1" applyAlignment="1">
      <alignment horizontal="left" vertical="center" shrinkToFit="1"/>
    </xf>
    <xf numFmtId="0" fontId="12" fillId="0" borderId="0" xfId="0" applyFont="1" applyFill="1" applyAlignment="1">
      <alignment horizontal="left" vertical="center" shrinkToFit="1"/>
    </xf>
    <xf numFmtId="0" fontId="6" fillId="0" borderId="0" xfId="0" applyFont="1" applyFill="1" applyAlignment="1">
      <alignment horizontal="left" vertical="center" shrinkToFit="1"/>
    </xf>
    <xf numFmtId="0" fontId="6" fillId="0" borderId="0" xfId="0" applyFont="1" applyFill="1" applyAlignment="1">
      <alignment horizontal="center"/>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wrapText="1" shrinkToFit="1"/>
    </xf>
    <xf numFmtId="0" fontId="5" fillId="0" borderId="9" xfId="0" applyNumberFormat="1" applyFont="1" applyFill="1" applyBorder="1" applyAlignment="1">
      <alignment horizontal="left" vertical="center"/>
    </xf>
    <xf numFmtId="179" fontId="5" fillId="0" borderId="9" xfId="0" applyNumberFormat="1" applyFont="1" applyFill="1" applyBorder="1" applyAlignment="1">
      <alignment horizontal="right" vertical="center"/>
    </xf>
    <xf numFmtId="0" fontId="2" fillId="0" borderId="7" xfId="0" applyFont="1" applyFill="1" applyBorder="1" applyAlignment="1">
      <alignment horizontal="left" vertical="center" shrinkToFit="1"/>
    </xf>
    <xf numFmtId="179" fontId="11" fillId="0" borderId="9" xfId="0" applyNumberFormat="1" applyFont="1" applyFill="1" applyBorder="1" applyAlignment="1">
      <alignment horizontal="right" vertical="center"/>
    </xf>
    <xf numFmtId="0" fontId="2" fillId="0" borderId="3" xfId="0" applyFont="1" applyFill="1" applyBorder="1" applyAlignment="1">
      <alignment horizontal="left" vertical="center" shrinkToFit="1"/>
    </xf>
    <xf numFmtId="0" fontId="2" fillId="0" borderId="4" xfId="0" applyFont="1" applyFill="1" applyBorder="1" applyAlignment="1">
      <alignment horizontal="left" vertical="center" shrinkToFit="1"/>
    </xf>
    <xf numFmtId="179" fontId="2" fillId="0" borderId="4" xfId="0" applyNumberFormat="1" applyFont="1" applyFill="1" applyBorder="1" applyAlignment="1">
      <alignment horizontal="right" vertical="center" shrinkToFit="1"/>
    </xf>
    <xf numFmtId="0" fontId="2" fillId="0" borderId="3" xfId="0" applyFont="1" applyFill="1" applyBorder="1" applyAlignment="1">
      <alignment horizontal="center" vertical="center" shrinkToFit="1"/>
    </xf>
    <xf numFmtId="0" fontId="11" fillId="0" borderId="10" xfId="0" applyNumberFormat="1" applyFont="1" applyFill="1" applyBorder="1" applyAlignment="1">
      <alignment horizontal="left" vertical="center"/>
    </xf>
    <xf numFmtId="0" fontId="11" fillId="0" borderId="11" xfId="0" applyNumberFormat="1" applyFont="1" applyFill="1" applyBorder="1" applyAlignment="1">
      <alignment horizontal="left" vertical="center"/>
    </xf>
    <xf numFmtId="0" fontId="11" fillId="0" borderId="12" xfId="0" applyNumberFormat="1" applyFont="1" applyFill="1" applyBorder="1" applyAlignment="1">
      <alignment horizontal="left" vertical="center"/>
    </xf>
    <xf numFmtId="179" fontId="11" fillId="0" borderId="13" xfId="0" applyNumberFormat="1" applyFont="1" applyFill="1" applyBorder="1" applyAlignment="1">
      <alignment horizontal="right" vertical="center"/>
    </xf>
    <xf numFmtId="0" fontId="5" fillId="0" borderId="10" xfId="0" applyNumberFormat="1" applyFont="1" applyFill="1" applyBorder="1" applyAlignment="1">
      <alignment horizontal="left" vertical="center"/>
    </xf>
    <xf numFmtId="0" fontId="5" fillId="0" borderId="11" xfId="0" applyNumberFormat="1" applyFont="1" applyFill="1" applyBorder="1" applyAlignment="1">
      <alignment horizontal="left" vertical="center"/>
    </xf>
    <xf numFmtId="0" fontId="5" fillId="0" borderId="12" xfId="0" applyNumberFormat="1" applyFont="1" applyFill="1" applyBorder="1" applyAlignment="1">
      <alignment horizontal="left" vertical="center"/>
    </xf>
    <xf numFmtId="179" fontId="5" fillId="0" borderId="13" xfId="0" applyNumberFormat="1" applyFont="1" applyFill="1" applyBorder="1" applyAlignment="1">
      <alignment horizontal="right" vertical="center"/>
    </xf>
    <xf numFmtId="0" fontId="5" fillId="0" borderId="8" xfId="0" applyNumberFormat="1" applyFont="1" applyFill="1" applyBorder="1" applyAlignment="1">
      <alignment horizontal="left" vertical="center"/>
    </xf>
    <xf numFmtId="179" fontId="5" fillId="0" borderId="8" xfId="0" applyNumberFormat="1" applyFont="1" applyFill="1" applyBorder="1" applyAlignment="1">
      <alignment horizontal="right" vertical="center"/>
    </xf>
    <xf numFmtId="179" fontId="5" fillId="0" borderId="14" xfId="0" applyNumberFormat="1" applyFont="1" applyFill="1" applyBorder="1" applyAlignment="1">
      <alignment horizontal="right" vertical="center"/>
    </xf>
    <xf numFmtId="0" fontId="13" fillId="0" borderId="0" xfId="0" applyFont="1" applyFill="1" applyAlignment="1">
      <alignment vertical="center"/>
    </xf>
    <xf numFmtId="0" fontId="14" fillId="0" borderId="0" xfId="0" applyFont="1" applyFill="1" applyAlignment="1">
      <alignment vertical="center"/>
    </xf>
    <xf numFmtId="0" fontId="7" fillId="0" borderId="0" xfId="0" applyFont="1" applyFill="1" applyAlignment="1">
      <alignment horizontal="right" vertical="center"/>
    </xf>
    <xf numFmtId="0" fontId="7" fillId="0" borderId="0" xfId="0" applyFont="1" applyFill="1" applyAlignment="1">
      <alignment vertical="center"/>
    </xf>
    <xf numFmtId="0" fontId="15" fillId="0" borderId="1"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3"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4" xfId="0" applyFont="1" applyFill="1" applyBorder="1" applyAlignment="1">
      <alignment horizontal="center" vertical="center"/>
    </xf>
    <xf numFmtId="0" fontId="15" fillId="0" borderId="3" xfId="0" applyFont="1" applyFill="1" applyBorder="1" applyAlignment="1">
      <alignment horizontal="center" vertical="center"/>
    </xf>
    <xf numFmtId="0" fontId="7" fillId="0" borderId="3" xfId="0" applyFont="1" applyFill="1" applyBorder="1" applyAlignment="1">
      <alignment horizontal="left" vertical="center"/>
    </xf>
    <xf numFmtId="0" fontId="7" fillId="0" borderId="4" xfId="0" applyFont="1" applyFill="1" applyBorder="1" applyAlignment="1">
      <alignment horizontal="center" vertical="center"/>
    </xf>
    <xf numFmtId="179" fontId="5" fillId="0" borderId="15" xfId="0" applyNumberFormat="1" applyFont="1" applyFill="1" applyBorder="1" applyAlignment="1">
      <alignment horizontal="right" vertical="center"/>
    </xf>
    <xf numFmtId="0" fontId="7" fillId="0" borderId="4" xfId="0" applyFont="1" applyFill="1" applyBorder="1" applyAlignment="1">
      <alignment horizontal="left" vertical="center"/>
    </xf>
    <xf numFmtId="179" fontId="5" fillId="0" borderId="16" xfId="0" applyNumberFormat="1" applyFont="1" applyFill="1" applyBorder="1" applyAlignment="1">
      <alignment horizontal="right" vertical="center"/>
    </xf>
    <xf numFmtId="179" fontId="5" fillId="0" borderId="17" xfId="0" applyNumberFormat="1" applyFont="1" applyFill="1" applyBorder="1" applyAlignment="1">
      <alignment horizontal="right" vertical="center"/>
    </xf>
    <xf numFmtId="179" fontId="5" fillId="0" borderId="18" xfId="0" applyNumberFormat="1" applyFont="1" applyFill="1" applyBorder="1" applyAlignment="1">
      <alignment horizontal="right" vertical="center"/>
    </xf>
    <xf numFmtId="179" fontId="5" fillId="0" borderId="19" xfId="0" applyNumberFormat="1" applyFont="1" applyFill="1" applyBorder="1" applyAlignment="1">
      <alignment horizontal="right" vertical="center"/>
    </xf>
    <xf numFmtId="179" fontId="7" fillId="0" borderId="18" xfId="0" applyNumberFormat="1" applyFont="1" applyFill="1" applyBorder="1" applyAlignment="1">
      <alignment horizontal="right" vertical="center" shrinkToFit="1"/>
    </xf>
    <xf numFmtId="179" fontId="15" fillId="0" borderId="18" xfId="0" applyNumberFormat="1" applyFont="1" applyFill="1" applyBorder="1" applyAlignment="1">
      <alignment horizontal="right" vertical="center" shrinkToFit="1"/>
    </xf>
    <xf numFmtId="179" fontId="11" fillId="0" borderId="19" xfId="0" applyNumberFormat="1" applyFont="1" applyFill="1" applyBorder="1" applyAlignment="1">
      <alignment horizontal="right" vertical="center"/>
    </xf>
    <xf numFmtId="179" fontId="15" fillId="0" borderId="7" xfId="0" applyNumberFormat="1" applyFont="1" applyFill="1" applyBorder="1" applyAlignment="1">
      <alignment horizontal="right" vertical="center" shrinkToFit="1"/>
    </xf>
    <xf numFmtId="179" fontId="15" fillId="0" borderId="13" xfId="0" applyNumberFormat="1" applyFont="1" applyFill="1" applyBorder="1" applyAlignment="1">
      <alignment horizontal="right" vertical="center" shrinkToFit="1"/>
    </xf>
    <xf numFmtId="179" fontId="7" fillId="0" borderId="20" xfId="0" applyNumberFormat="1" applyFont="1" applyFill="1" applyBorder="1" applyAlignment="1">
      <alignment horizontal="right" vertical="center" shrinkToFit="1"/>
    </xf>
    <xf numFmtId="179" fontId="7" fillId="0" borderId="19" xfId="0" applyNumberFormat="1" applyFont="1" applyFill="1" applyBorder="1" applyAlignment="1">
      <alignment horizontal="right" vertical="center" shrinkToFit="1"/>
    </xf>
    <xf numFmtId="179" fontId="7" fillId="0" borderId="7" xfId="0" applyNumberFormat="1" applyFont="1" applyFill="1" applyBorder="1" applyAlignment="1">
      <alignment horizontal="right" vertical="center" shrinkToFit="1"/>
    </xf>
    <xf numFmtId="179" fontId="7" fillId="0" borderId="13" xfId="0" applyNumberFormat="1" applyFont="1" applyFill="1" applyBorder="1" applyAlignment="1">
      <alignment horizontal="right" vertical="center" shrinkToFit="1"/>
    </xf>
    <xf numFmtId="179" fontId="7" fillId="0" borderId="4" xfId="0" applyNumberFormat="1" applyFont="1" applyFill="1" applyBorder="1" applyAlignment="1">
      <alignment horizontal="right" vertical="center" shrinkToFit="1"/>
    </xf>
    <xf numFmtId="179" fontId="7" fillId="0" borderId="21" xfId="0" applyNumberFormat="1" applyFont="1" applyFill="1" applyBorder="1" applyAlignment="1">
      <alignment horizontal="right" vertical="center" shrinkToFit="1"/>
    </xf>
    <xf numFmtId="179" fontId="7" fillId="0" borderId="8" xfId="0" applyNumberFormat="1" applyFont="1" applyFill="1" applyBorder="1" applyAlignment="1">
      <alignment horizontal="right" vertical="center" shrinkToFit="1"/>
    </xf>
    <xf numFmtId="179" fontId="7" fillId="0" borderId="14" xfId="0" applyNumberFormat="1" applyFont="1" applyFill="1" applyBorder="1" applyAlignment="1">
      <alignment horizontal="right" vertical="center" shrinkToFit="1"/>
    </xf>
    <xf numFmtId="0" fontId="15" fillId="0" borderId="22" xfId="0" applyFont="1" applyFill="1" applyBorder="1" applyAlignment="1">
      <alignment horizontal="center" vertical="center"/>
    </xf>
    <xf numFmtId="179" fontId="15" fillId="0" borderId="4" xfId="0" applyNumberFormat="1" applyFont="1" applyFill="1" applyBorder="1" applyAlignment="1">
      <alignment horizontal="right" vertical="center" shrinkToFit="1"/>
    </xf>
    <xf numFmtId="0" fontId="7" fillId="0" borderId="0" xfId="0" applyFont="1" applyFill="1" applyAlignment="1">
      <alignment horizontal="left" vertical="center" wrapText="1"/>
    </xf>
    <xf numFmtId="0" fontId="15" fillId="0" borderId="1" xfId="0" applyFont="1" applyFill="1" applyBorder="1" applyAlignment="1">
      <alignment horizontal="center" vertical="center" shrinkToFit="1"/>
    </xf>
    <xf numFmtId="0" fontId="15" fillId="0" borderId="2" xfId="0" applyFont="1" applyFill="1" applyBorder="1" applyAlignment="1">
      <alignment horizontal="center" vertical="center" shrinkToFit="1"/>
    </xf>
    <xf numFmtId="0" fontId="15" fillId="0" borderId="2" xfId="0" applyFont="1" applyFill="1" applyBorder="1" applyAlignment="1">
      <alignment horizontal="center" vertical="center" wrapText="1" shrinkToFit="1"/>
    </xf>
    <xf numFmtId="0" fontId="15" fillId="0" borderId="3" xfId="0" applyFont="1" applyFill="1" applyBorder="1" applyAlignment="1">
      <alignment horizontal="center" vertical="center" wrapText="1" shrinkToFit="1"/>
    </xf>
    <xf numFmtId="0" fontId="15" fillId="0" borderId="4" xfId="0" applyFont="1" applyFill="1" applyBorder="1" applyAlignment="1">
      <alignment horizontal="center" vertical="center" wrapText="1" shrinkToFit="1"/>
    </xf>
    <xf numFmtId="0" fontId="15" fillId="0" borderId="4" xfId="0" applyFont="1" applyFill="1" applyBorder="1" applyAlignment="1">
      <alignment horizontal="center" vertical="center" shrinkToFit="1"/>
    </xf>
    <xf numFmtId="0" fontId="15" fillId="0" borderId="6" xfId="0" applyFont="1" applyFill="1" applyBorder="1" applyAlignment="1">
      <alignment horizontal="center" vertical="center" shrinkToFit="1"/>
    </xf>
    <xf numFmtId="0" fontId="15" fillId="0" borderId="6" xfId="0" applyFont="1" applyFill="1" applyBorder="1" applyAlignment="1">
      <alignment horizontal="center" vertical="center" wrapText="1" shrinkToFit="1"/>
    </xf>
    <xf numFmtId="0" fontId="15" fillId="0" borderId="17" xfId="0" applyFont="1" applyFill="1" applyBorder="1" applyAlignment="1">
      <alignment horizontal="center" vertical="center" wrapText="1" shrinkToFit="1"/>
    </xf>
    <xf numFmtId="0" fontId="2" fillId="0" borderId="7" xfId="0" applyFont="1" applyFill="1" applyBorder="1" applyAlignment="1">
      <alignment horizontal="center" vertical="center" shrinkToFit="1"/>
    </xf>
    <xf numFmtId="179" fontId="16" fillId="0" borderId="7" xfId="0" applyNumberFormat="1" applyFont="1" applyFill="1" applyBorder="1" applyAlignment="1">
      <alignment horizontal="right" vertical="center"/>
    </xf>
    <xf numFmtId="0" fontId="2" fillId="0" borderId="0" xfId="0" applyFont="1" applyFill="1"/>
    <xf numFmtId="0" fontId="16" fillId="0" borderId="10" xfId="0" applyNumberFormat="1" applyFont="1" applyFill="1" applyBorder="1" applyAlignment="1">
      <alignment horizontal="left" vertical="center"/>
    </xf>
    <xf numFmtId="0" fontId="16" fillId="0" borderId="11" xfId="0" applyNumberFormat="1" applyFont="1" applyFill="1" applyBorder="1" applyAlignment="1">
      <alignment horizontal="left" vertical="center"/>
    </xf>
    <xf numFmtId="0" fontId="16" fillId="0" borderId="12" xfId="0" applyNumberFormat="1" applyFont="1" applyFill="1" applyBorder="1" applyAlignment="1">
      <alignment horizontal="left" vertical="center"/>
    </xf>
    <xf numFmtId="0" fontId="16" fillId="0" borderId="7" xfId="0" applyNumberFormat="1" applyFont="1" applyFill="1" applyBorder="1" applyAlignment="1">
      <alignment horizontal="left" vertical="center"/>
    </xf>
    <xf numFmtId="0" fontId="17" fillId="0" borderId="7" xfId="0" applyNumberFormat="1" applyFont="1" applyFill="1" applyBorder="1" applyAlignment="1">
      <alignment horizontal="left" vertical="center"/>
    </xf>
    <xf numFmtId="179" fontId="17" fillId="0" borderId="7" xfId="0" applyNumberFormat="1" applyFont="1" applyFill="1" applyBorder="1" applyAlignment="1">
      <alignment horizontal="right" vertical="center"/>
    </xf>
    <xf numFmtId="0" fontId="1" fillId="0" borderId="0" xfId="0" applyFont="1" applyFill="1"/>
    <xf numFmtId="179" fontId="17" fillId="0" borderId="13" xfId="0" applyNumberFormat="1" applyFont="1" applyFill="1" applyBorder="1" applyAlignment="1">
      <alignment horizontal="right" vertical="center"/>
    </xf>
    <xf numFmtId="0" fontId="17" fillId="0" borderId="10" xfId="0" applyNumberFormat="1" applyFont="1" applyFill="1" applyBorder="1" applyAlignment="1">
      <alignment horizontal="left" vertical="center"/>
    </xf>
    <xf numFmtId="0" fontId="17" fillId="0" borderId="11" xfId="0" applyNumberFormat="1" applyFont="1" applyFill="1" applyBorder="1" applyAlignment="1">
      <alignment horizontal="left" vertical="center"/>
    </xf>
    <xf numFmtId="0" fontId="17" fillId="0" borderId="12" xfId="0" applyNumberFormat="1" applyFont="1" applyFill="1" applyBorder="1" applyAlignment="1">
      <alignment horizontal="left" vertical="center"/>
    </xf>
    <xf numFmtId="179" fontId="17" fillId="0" borderId="8" xfId="0" applyNumberFormat="1" applyFont="1" applyFill="1" applyBorder="1" applyAlignment="1">
      <alignment horizontal="right" vertical="center"/>
    </xf>
    <xf numFmtId="0" fontId="17" fillId="0" borderId="8" xfId="0" applyNumberFormat="1" applyFont="1" applyFill="1" applyBorder="1" applyAlignment="1">
      <alignment horizontal="left" vertical="center"/>
    </xf>
    <xf numFmtId="179" fontId="17" fillId="0" borderId="14" xfId="0" applyNumberFormat="1" applyFont="1" applyFill="1" applyBorder="1" applyAlignment="1">
      <alignment horizontal="right" vertical="center"/>
    </xf>
    <xf numFmtId="0" fontId="7" fillId="0" borderId="0" xfId="0" applyFont="1" applyFill="1" applyAlignment="1">
      <alignment horizontal="left" vertical="center" shrinkToFit="1"/>
    </xf>
    <xf numFmtId="0" fontId="2" fillId="0" borderId="17" xfId="0" applyFont="1" applyFill="1" applyBorder="1" applyAlignment="1">
      <alignment horizontal="center" vertical="center" wrapText="1" shrinkToFit="1"/>
    </xf>
    <xf numFmtId="0" fontId="14" fillId="0" borderId="0" xfId="0" applyFont="1" applyFill="1"/>
    <xf numFmtId="0" fontId="13" fillId="0" borderId="0" xfId="0" applyFont="1" applyFill="1"/>
    <xf numFmtId="0" fontId="18" fillId="0" borderId="0" xfId="0" applyFont="1" applyFill="1" applyAlignment="1">
      <alignment vertical="center"/>
    </xf>
    <xf numFmtId="0" fontId="19" fillId="0" borderId="0" xfId="0" applyFont="1" applyFill="1" applyAlignment="1">
      <alignment vertical="center"/>
    </xf>
    <xf numFmtId="0" fontId="4" fillId="0" borderId="0" xfId="0" applyFont="1" applyFill="1" applyAlignment="1">
      <alignment horizontal="center" vertical="center"/>
    </xf>
    <xf numFmtId="0" fontId="18" fillId="0" borderId="0" xfId="0" applyFont="1" applyFill="1" applyAlignment="1">
      <alignment horizontal="right" vertical="center"/>
    </xf>
    <xf numFmtId="0" fontId="19" fillId="0" borderId="1" xfId="0" applyFont="1" applyFill="1" applyBorder="1" applyAlignment="1">
      <alignment horizontal="center" vertical="center" shrinkToFit="1"/>
    </xf>
    <xf numFmtId="0" fontId="19" fillId="0" borderId="2" xfId="0" applyFont="1" applyFill="1" applyBorder="1" applyAlignment="1">
      <alignment horizontal="center" vertical="center" shrinkToFit="1"/>
    </xf>
    <xf numFmtId="0" fontId="19" fillId="0" borderId="3" xfId="0" applyFont="1" applyFill="1" applyBorder="1" applyAlignment="1">
      <alignment horizontal="center" vertical="center" shrinkToFit="1"/>
    </xf>
    <xf numFmtId="0" fontId="19" fillId="0" borderId="4" xfId="0" applyFont="1" applyFill="1" applyBorder="1" applyAlignment="1">
      <alignment horizontal="center" vertical="center" shrinkToFit="1"/>
    </xf>
    <xf numFmtId="0" fontId="18" fillId="0" borderId="3" xfId="0" applyFont="1" applyFill="1" applyBorder="1" applyAlignment="1">
      <alignment horizontal="left" vertical="center" shrinkToFit="1"/>
    </xf>
    <xf numFmtId="0" fontId="18" fillId="0" borderId="4" xfId="0" applyFont="1" applyFill="1" applyBorder="1" applyAlignment="1">
      <alignment horizontal="center" vertical="center" shrinkToFit="1"/>
    </xf>
    <xf numFmtId="179" fontId="18" fillId="0" borderId="15" xfId="0" applyNumberFormat="1" applyFont="1" applyFill="1" applyBorder="1" applyAlignment="1">
      <alignment horizontal="right" vertical="center" shrinkToFit="1"/>
    </xf>
    <xf numFmtId="0" fontId="18" fillId="0" borderId="4" xfId="0" applyFont="1" applyFill="1" applyBorder="1" applyAlignment="1">
      <alignment horizontal="left" vertical="center" shrinkToFit="1"/>
    </xf>
    <xf numFmtId="179" fontId="20" fillId="0" borderId="15" xfId="0" applyNumberFormat="1" applyFont="1" applyFill="1" applyBorder="1" applyAlignment="1">
      <alignment horizontal="right" vertical="center"/>
    </xf>
    <xf numFmtId="179" fontId="20" fillId="0" borderId="18" xfId="0" applyNumberFormat="1" applyFont="1" applyFill="1" applyBorder="1" applyAlignment="1">
      <alignment horizontal="right" vertical="center"/>
    </xf>
    <xf numFmtId="179" fontId="18" fillId="0" borderId="18" xfId="0" applyNumberFormat="1" applyFont="1" applyFill="1" applyBorder="1" applyAlignment="1">
      <alignment horizontal="right" vertical="center" shrinkToFit="1"/>
    </xf>
    <xf numFmtId="0" fontId="18" fillId="0" borderId="23" xfId="0" applyFont="1" applyFill="1" applyBorder="1" applyAlignment="1">
      <alignment horizontal="center" vertical="center" shrinkToFit="1"/>
    </xf>
    <xf numFmtId="179" fontId="18" fillId="0" borderId="24" xfId="0" applyNumberFormat="1" applyFont="1" applyFill="1" applyBorder="1" applyAlignment="1">
      <alignment horizontal="right" vertical="center" shrinkToFit="1"/>
    </xf>
    <xf numFmtId="0" fontId="18" fillId="0" borderId="23" xfId="0" applyFont="1" applyFill="1" applyBorder="1" applyAlignment="1">
      <alignment horizontal="left" vertical="center" shrinkToFit="1"/>
    </xf>
    <xf numFmtId="179" fontId="20" fillId="0" borderId="24" xfId="0" applyNumberFormat="1" applyFont="1" applyFill="1" applyBorder="1" applyAlignment="1">
      <alignment horizontal="right" vertical="center"/>
    </xf>
    <xf numFmtId="0" fontId="18" fillId="0" borderId="19" xfId="0" applyFont="1" applyFill="1" applyBorder="1" applyAlignment="1">
      <alignment horizontal="center" vertical="center" shrinkToFit="1"/>
    </xf>
    <xf numFmtId="179" fontId="18" fillId="0" borderId="7" xfId="0" applyNumberFormat="1" applyFont="1" applyFill="1" applyBorder="1" applyAlignment="1">
      <alignment horizontal="right" vertical="center" shrinkToFit="1"/>
    </xf>
    <xf numFmtId="0" fontId="18" fillId="0" borderId="7" xfId="0" applyFont="1" applyFill="1" applyBorder="1" applyAlignment="1">
      <alignment horizontal="left" vertical="center" shrinkToFit="1"/>
    </xf>
    <xf numFmtId="0" fontId="18" fillId="0" borderId="7" xfId="0" applyFont="1" applyFill="1" applyBorder="1" applyAlignment="1">
      <alignment horizontal="center" vertical="center" shrinkToFit="1"/>
    </xf>
    <xf numFmtId="179" fontId="20" fillId="0" borderId="13" xfId="0" applyNumberFormat="1" applyFont="1" applyFill="1" applyBorder="1" applyAlignment="1">
      <alignment horizontal="right" vertical="center"/>
    </xf>
    <xf numFmtId="179" fontId="18" fillId="0" borderId="13" xfId="0" applyNumberFormat="1" applyFont="1" applyFill="1" applyBorder="1" applyAlignment="1">
      <alignment horizontal="right" vertical="center" shrinkToFit="1"/>
    </xf>
    <xf numFmtId="0" fontId="19" fillId="0" borderId="19" xfId="0" applyFont="1" applyFill="1" applyBorder="1" applyAlignment="1">
      <alignment horizontal="center" vertical="center" shrinkToFit="1"/>
    </xf>
    <xf numFmtId="179" fontId="19" fillId="0" borderId="7" xfId="0" applyNumberFormat="1" applyFont="1" applyFill="1" applyBorder="1" applyAlignment="1">
      <alignment horizontal="right" vertical="center" shrinkToFit="1"/>
    </xf>
    <xf numFmtId="0" fontId="19" fillId="0" borderId="7" xfId="0" applyFont="1" applyFill="1" applyBorder="1" applyAlignment="1">
      <alignment horizontal="center" vertical="center" shrinkToFit="1"/>
    </xf>
    <xf numFmtId="179" fontId="21" fillId="0" borderId="13" xfId="0" applyNumberFormat="1" applyFont="1" applyFill="1" applyBorder="1" applyAlignment="1">
      <alignment horizontal="right" vertical="center"/>
    </xf>
    <xf numFmtId="0" fontId="19" fillId="0" borderId="21" xfId="0" applyFont="1" applyFill="1" applyBorder="1" applyAlignment="1">
      <alignment horizontal="center" vertical="center" shrinkToFit="1"/>
    </xf>
    <xf numFmtId="179" fontId="19" fillId="0" borderId="8" xfId="0" applyNumberFormat="1" applyFont="1" applyFill="1" applyBorder="1" applyAlignment="1">
      <alignment horizontal="right" vertical="center" shrinkToFit="1"/>
    </xf>
    <xf numFmtId="0" fontId="19" fillId="0" borderId="8" xfId="0" applyFont="1" applyFill="1" applyBorder="1" applyAlignment="1">
      <alignment horizontal="center" vertical="center" shrinkToFit="1"/>
    </xf>
    <xf numFmtId="179" fontId="21" fillId="0" borderId="14" xfId="0" applyNumberFormat="1" applyFont="1" applyFill="1" applyBorder="1" applyAlignment="1">
      <alignment horizontal="right" vertical="center"/>
    </xf>
    <xf numFmtId="0" fontId="18" fillId="0"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zoomScaleSheetLayoutView="60" workbookViewId="0">
      <pane xSplit="2" ySplit="6" topLeftCell="C13" activePane="bottomRight" state="frozen"/>
      <selection/>
      <selection pane="topRight"/>
      <selection pane="bottomLeft"/>
      <selection pane="bottomRight" activeCell="D28" sqref="D28"/>
    </sheetView>
  </sheetViews>
  <sheetFormatPr defaultColWidth="8.88571428571429" defaultRowHeight="12.75" outlineLevelCol="5"/>
  <cols>
    <col min="1" max="1" width="39.2857142857143" style="5" customWidth="1"/>
    <col min="2" max="2" width="5.42857142857143" style="5" customWidth="1"/>
    <col min="3" max="3" width="21.4285714285714" style="5" customWidth="1"/>
    <col min="4" max="4" width="40.1333333333333" style="5" customWidth="1"/>
    <col min="5" max="5" width="5.42857142857143" style="5" customWidth="1"/>
    <col min="6" max="6" width="21.4285714285714" style="5" customWidth="1"/>
    <col min="7" max="7" width="9.76190476190476" style="5"/>
    <col min="8" max="16384" width="8.88571428571429" style="5"/>
  </cols>
  <sheetData>
    <row r="1" ht="22" customHeight="1" spans="1:6">
      <c r="A1" s="6" t="s">
        <v>0</v>
      </c>
      <c r="B1" s="130"/>
      <c r="C1" s="6" t="s">
        <v>0</v>
      </c>
      <c r="D1" s="130"/>
      <c r="E1" s="130"/>
      <c r="F1" s="130"/>
    </row>
    <row r="2" s="128" customFormat="1" ht="18" customHeight="1" spans="1:6">
      <c r="F2" s="131" t="s">
        <v>1</v>
      </c>
    </row>
    <row r="3" s="128" customFormat="1" ht="18" customHeight="1" spans="1:6">
      <c r="A3" s="128" t="s">
        <v>2</v>
      </c>
      <c r="F3" s="131" t="s">
        <v>3</v>
      </c>
    </row>
    <row r="4" s="129" customFormat="1" ht="18" customHeight="1" spans="1:6">
      <c r="A4" s="132" t="s">
        <v>4</v>
      </c>
      <c r="B4" s="133" t="s">
        <v>5</v>
      </c>
      <c r="C4" s="133" t="s">
        <v>5</v>
      </c>
      <c r="D4" s="133" t="s">
        <v>6</v>
      </c>
      <c r="E4" s="133" t="s">
        <v>5</v>
      </c>
      <c r="F4" s="133" t="s">
        <v>5</v>
      </c>
    </row>
    <row r="5" s="129" customFormat="1" ht="18" customHeight="1" spans="1:6">
      <c r="A5" s="134" t="s">
        <v>7</v>
      </c>
      <c r="B5" s="135" t="s">
        <v>8</v>
      </c>
      <c r="C5" s="135" t="s">
        <v>9</v>
      </c>
      <c r="D5" s="135" t="s">
        <v>7</v>
      </c>
      <c r="E5" s="135" t="s">
        <v>8</v>
      </c>
      <c r="F5" s="135" t="s">
        <v>9</v>
      </c>
    </row>
    <row r="6" s="129" customFormat="1" ht="18" customHeight="1" spans="1:6">
      <c r="A6" s="134" t="s">
        <v>10</v>
      </c>
      <c r="B6" s="135" t="s">
        <v>5</v>
      </c>
      <c r="C6" s="135" t="s">
        <v>11</v>
      </c>
      <c r="D6" s="135" t="s">
        <v>10</v>
      </c>
      <c r="E6" s="135" t="s">
        <v>5</v>
      </c>
      <c r="F6" s="135" t="s">
        <v>12</v>
      </c>
    </row>
    <row r="7" s="128" customFormat="1" ht="18" customHeight="1" spans="1:6">
      <c r="A7" s="136" t="s">
        <v>13</v>
      </c>
      <c r="B7" s="137" t="s">
        <v>11</v>
      </c>
      <c r="C7" s="138">
        <f>一般公共预算财政拨款支出决算表!E9</f>
        <v>6657.279936</v>
      </c>
      <c r="D7" s="139" t="s">
        <v>14</v>
      </c>
      <c r="E7" s="137" t="s">
        <v>15</v>
      </c>
      <c r="F7" s="140">
        <v>0</v>
      </c>
    </row>
    <row r="8" s="128" customFormat="1" ht="18" customHeight="1" spans="1:6">
      <c r="A8" s="136" t="s">
        <v>16</v>
      </c>
      <c r="B8" s="137" t="s">
        <v>12</v>
      </c>
      <c r="C8" s="141">
        <f>政府性基金预算财政拨款收入支出决算表!F7</f>
        <v>848.767162</v>
      </c>
      <c r="D8" s="139" t="s">
        <v>17</v>
      </c>
      <c r="E8" s="137" t="s">
        <v>18</v>
      </c>
      <c r="F8" s="142" t="s">
        <v>5</v>
      </c>
    </row>
    <row r="9" s="128" customFormat="1" ht="18" customHeight="1" spans="1:6">
      <c r="A9" s="136" t="s">
        <v>19</v>
      </c>
      <c r="B9" s="137" t="s">
        <v>20</v>
      </c>
      <c r="C9" s="141">
        <f>国有资本经营预算财政拨款支出决算表!E9</f>
        <v>10</v>
      </c>
      <c r="D9" s="139" t="s">
        <v>21</v>
      </c>
      <c r="E9" s="137" t="s">
        <v>22</v>
      </c>
      <c r="F9" s="142" t="s">
        <v>5</v>
      </c>
    </row>
    <row r="10" s="128" customFormat="1" ht="18" customHeight="1" spans="1:6">
      <c r="A10" s="136" t="s">
        <v>23</v>
      </c>
      <c r="B10" s="137" t="s">
        <v>24</v>
      </c>
      <c r="C10" s="142" t="s">
        <v>5</v>
      </c>
      <c r="D10" s="139" t="s">
        <v>25</v>
      </c>
      <c r="E10" s="137" t="s">
        <v>26</v>
      </c>
      <c r="F10" s="142" t="s">
        <v>5</v>
      </c>
    </row>
    <row r="11" s="128" customFormat="1" ht="18" customHeight="1" spans="1:6">
      <c r="A11" s="136" t="s">
        <v>27</v>
      </c>
      <c r="B11" s="137" t="s">
        <v>28</v>
      </c>
      <c r="C11" s="142" t="s">
        <v>5</v>
      </c>
      <c r="D11" s="139" t="s">
        <v>29</v>
      </c>
      <c r="E11" s="137" t="s">
        <v>30</v>
      </c>
      <c r="F11" s="142">
        <f>支出决算表!F10</f>
        <v>183.61</v>
      </c>
    </row>
    <row r="12" s="128" customFormat="1" ht="18" customHeight="1" spans="1:6">
      <c r="A12" s="136" t="s">
        <v>31</v>
      </c>
      <c r="B12" s="137" t="s">
        <v>32</v>
      </c>
      <c r="C12" s="142" t="s">
        <v>5</v>
      </c>
      <c r="D12" s="139" t="s">
        <v>33</v>
      </c>
      <c r="E12" s="137" t="s">
        <v>34</v>
      </c>
      <c r="F12" s="142" t="s">
        <v>5</v>
      </c>
    </row>
    <row r="13" s="128" customFormat="1" ht="18" customHeight="1" spans="1:6">
      <c r="A13" s="136" t="s">
        <v>35</v>
      </c>
      <c r="B13" s="137" t="s">
        <v>36</v>
      </c>
      <c r="C13" s="142" t="s">
        <v>5</v>
      </c>
      <c r="D13" s="139" t="s">
        <v>37</v>
      </c>
      <c r="E13" s="137" t="s">
        <v>38</v>
      </c>
      <c r="F13" s="142" t="s">
        <v>5</v>
      </c>
    </row>
    <row r="14" s="128" customFormat="1" ht="18" customHeight="1" spans="1:6">
      <c r="A14" s="136" t="s">
        <v>39</v>
      </c>
      <c r="B14" s="137" t="s">
        <v>40</v>
      </c>
      <c r="C14" s="141">
        <f>收入决算表!K9</f>
        <v>1365.733873</v>
      </c>
      <c r="D14" s="139" t="s">
        <v>41</v>
      </c>
      <c r="E14" s="137" t="s">
        <v>42</v>
      </c>
      <c r="F14" s="141">
        <f>支出决算表!E13</f>
        <v>373.851392</v>
      </c>
    </row>
    <row r="15" s="128" customFormat="1" ht="18" customHeight="1" spans="1:6">
      <c r="A15" s="136" t="s">
        <v>5</v>
      </c>
      <c r="B15" s="137" t="s">
        <v>43</v>
      </c>
      <c r="C15" s="142" t="s">
        <v>5</v>
      </c>
      <c r="D15" s="139" t="s">
        <v>44</v>
      </c>
      <c r="E15" s="137" t="s">
        <v>45</v>
      </c>
      <c r="F15" s="141">
        <f>支出决算表!E20</f>
        <v>199.058969</v>
      </c>
    </row>
    <row r="16" s="128" customFormat="1" ht="18" customHeight="1" spans="1:6">
      <c r="A16" s="136" t="s">
        <v>5</v>
      </c>
      <c r="B16" s="137" t="s">
        <v>46</v>
      </c>
      <c r="C16" s="142" t="s">
        <v>5</v>
      </c>
      <c r="D16" s="139" t="s">
        <v>47</v>
      </c>
      <c r="E16" s="137" t="s">
        <v>48</v>
      </c>
      <c r="F16" s="142" t="s">
        <v>5</v>
      </c>
    </row>
    <row r="17" s="128" customFormat="1" ht="18" customHeight="1" spans="1:6">
      <c r="A17" s="136" t="s">
        <v>5</v>
      </c>
      <c r="B17" s="137" t="s">
        <v>49</v>
      </c>
      <c r="C17" s="142" t="s">
        <v>5</v>
      </c>
      <c r="D17" s="139" t="s">
        <v>50</v>
      </c>
      <c r="E17" s="137" t="s">
        <v>51</v>
      </c>
      <c r="F17" s="141">
        <f>支出决算表!E24</f>
        <v>539.697962</v>
      </c>
    </row>
    <row r="18" s="128" customFormat="1" ht="18" customHeight="1" spans="1:6">
      <c r="A18" s="136" t="s">
        <v>5</v>
      </c>
      <c r="B18" s="137" t="s">
        <v>52</v>
      </c>
      <c r="C18" s="142" t="s">
        <v>5</v>
      </c>
      <c r="D18" s="139" t="s">
        <v>53</v>
      </c>
      <c r="E18" s="137" t="s">
        <v>54</v>
      </c>
      <c r="F18" s="141">
        <v>0</v>
      </c>
    </row>
    <row r="19" s="128" customFormat="1" ht="18" customHeight="1" spans="1:6">
      <c r="A19" s="136" t="s">
        <v>5</v>
      </c>
      <c r="B19" s="137" t="s">
        <v>55</v>
      </c>
      <c r="C19" s="142" t="s">
        <v>5</v>
      </c>
      <c r="D19" s="139" t="s">
        <v>56</v>
      </c>
      <c r="E19" s="137" t="s">
        <v>57</v>
      </c>
      <c r="F19" s="142" t="s">
        <v>5</v>
      </c>
    </row>
    <row r="20" s="128" customFormat="1" ht="18" customHeight="1" spans="1:6">
      <c r="A20" s="136" t="s">
        <v>5</v>
      </c>
      <c r="B20" s="137" t="s">
        <v>58</v>
      </c>
      <c r="C20" s="142" t="s">
        <v>5</v>
      </c>
      <c r="D20" s="139" t="s">
        <v>59</v>
      </c>
      <c r="E20" s="137" t="s">
        <v>60</v>
      </c>
      <c r="F20" s="142" t="s">
        <v>5</v>
      </c>
    </row>
    <row r="21" s="128" customFormat="1" ht="18" customHeight="1" spans="1:6">
      <c r="A21" s="136" t="s">
        <v>5</v>
      </c>
      <c r="B21" s="137" t="s">
        <v>61</v>
      </c>
      <c r="C21" s="142" t="s">
        <v>5</v>
      </c>
      <c r="D21" s="139" t="s">
        <v>62</v>
      </c>
      <c r="E21" s="137" t="s">
        <v>63</v>
      </c>
      <c r="F21" s="142" t="s">
        <v>5</v>
      </c>
    </row>
    <row r="22" s="128" customFormat="1" ht="18" customHeight="1" spans="1:6">
      <c r="A22" s="136" t="s">
        <v>5</v>
      </c>
      <c r="B22" s="137" t="s">
        <v>64</v>
      </c>
      <c r="C22" s="142" t="s">
        <v>5</v>
      </c>
      <c r="D22" s="139" t="s">
        <v>65</v>
      </c>
      <c r="E22" s="137" t="s">
        <v>66</v>
      </c>
      <c r="F22" s="142" t="s">
        <v>5</v>
      </c>
    </row>
    <row r="23" s="128" customFormat="1" ht="18" customHeight="1" spans="1:6">
      <c r="A23" s="136" t="s">
        <v>5</v>
      </c>
      <c r="B23" s="137" t="s">
        <v>67</v>
      </c>
      <c r="C23" s="142" t="s">
        <v>5</v>
      </c>
      <c r="D23" s="139" t="s">
        <v>68</v>
      </c>
      <c r="E23" s="137" t="s">
        <v>69</v>
      </c>
      <c r="F23" s="142" t="s">
        <v>5</v>
      </c>
    </row>
    <row r="24" s="128" customFormat="1" ht="18" customHeight="1" spans="1:6">
      <c r="A24" s="136" t="s">
        <v>5</v>
      </c>
      <c r="B24" s="137" t="s">
        <v>70</v>
      </c>
      <c r="C24" s="142" t="s">
        <v>5</v>
      </c>
      <c r="D24" s="139" t="s">
        <v>71</v>
      </c>
      <c r="E24" s="137" t="s">
        <v>72</v>
      </c>
      <c r="F24" s="141">
        <f>支出决算表!E28</f>
        <v>5522.316674</v>
      </c>
    </row>
    <row r="25" s="128" customFormat="1" ht="18" customHeight="1" spans="1:6">
      <c r="A25" s="136" t="s">
        <v>5</v>
      </c>
      <c r="B25" s="137" t="s">
        <v>73</v>
      </c>
      <c r="C25" s="142" t="s">
        <v>5</v>
      </c>
      <c r="D25" s="139" t="s">
        <v>74</v>
      </c>
      <c r="E25" s="137" t="s">
        <v>75</v>
      </c>
      <c r="F25" s="141">
        <f>支出决算表!E34</f>
        <v>251.442907</v>
      </c>
    </row>
    <row r="26" s="128" customFormat="1" ht="18" customHeight="1" spans="1:6">
      <c r="A26" s="136" t="s">
        <v>5</v>
      </c>
      <c r="B26" s="137" t="s">
        <v>76</v>
      </c>
      <c r="C26" s="142" t="s">
        <v>5</v>
      </c>
      <c r="D26" s="139" t="s">
        <v>77</v>
      </c>
      <c r="E26" s="137" t="s">
        <v>78</v>
      </c>
      <c r="F26" s="142" t="s">
        <v>5</v>
      </c>
    </row>
    <row r="27" s="128" customFormat="1" ht="18" customHeight="1" spans="1:6">
      <c r="A27" s="136" t="s">
        <v>5</v>
      </c>
      <c r="B27" s="143" t="s">
        <v>79</v>
      </c>
      <c r="C27" s="144" t="s">
        <v>5</v>
      </c>
      <c r="D27" s="145" t="s">
        <v>80</v>
      </c>
      <c r="E27" s="143" t="s">
        <v>81</v>
      </c>
      <c r="F27" s="146">
        <f>支出决算表!E37</f>
        <v>10</v>
      </c>
    </row>
    <row r="28" s="128" customFormat="1" ht="18" customHeight="1" spans="1:6">
      <c r="A28" s="136" t="s">
        <v>5</v>
      </c>
      <c r="B28" s="147" t="s">
        <v>82</v>
      </c>
      <c r="C28" s="148" t="s">
        <v>5</v>
      </c>
      <c r="D28" s="149" t="s">
        <v>83</v>
      </c>
      <c r="E28" s="150" t="s">
        <v>84</v>
      </c>
      <c r="F28" s="151">
        <f>支出决算表!E40</f>
        <v>127</v>
      </c>
    </row>
    <row r="29" s="128" customFormat="1" ht="18" customHeight="1" spans="1:6">
      <c r="A29" s="136" t="s">
        <v>5</v>
      </c>
      <c r="B29" s="147" t="s">
        <v>85</v>
      </c>
      <c r="C29" s="148" t="s">
        <v>5</v>
      </c>
      <c r="D29" s="149" t="s">
        <v>86</v>
      </c>
      <c r="E29" s="150" t="s">
        <v>87</v>
      </c>
      <c r="F29" s="151">
        <f>支出决算表!E43</f>
        <v>2039.462024</v>
      </c>
    </row>
    <row r="30" s="128" customFormat="1" ht="18" customHeight="1" spans="1:6">
      <c r="A30" s="134" t="s">
        <v>5</v>
      </c>
      <c r="B30" s="147" t="s">
        <v>88</v>
      </c>
      <c r="C30" s="148" t="s">
        <v>5</v>
      </c>
      <c r="D30" s="149" t="s">
        <v>89</v>
      </c>
      <c r="E30" s="150" t="s">
        <v>90</v>
      </c>
      <c r="F30" s="152" t="s">
        <v>5</v>
      </c>
    </row>
    <row r="31" s="128" customFormat="1" ht="18" customHeight="1" spans="1:6">
      <c r="A31" s="136" t="s">
        <v>5</v>
      </c>
      <c r="B31" s="147" t="s">
        <v>91</v>
      </c>
      <c r="C31" s="148" t="s">
        <v>5</v>
      </c>
      <c r="D31" s="149" t="s">
        <v>92</v>
      </c>
      <c r="E31" s="150" t="s">
        <v>93</v>
      </c>
      <c r="F31" s="152" t="s">
        <v>5</v>
      </c>
    </row>
    <row r="32" s="128" customFormat="1" ht="18" customHeight="1" spans="1:6">
      <c r="A32" s="136" t="s">
        <v>5</v>
      </c>
      <c r="B32" s="147" t="s">
        <v>94</v>
      </c>
      <c r="C32" s="148" t="s">
        <v>5</v>
      </c>
      <c r="D32" s="149" t="s">
        <v>95</v>
      </c>
      <c r="E32" s="150" t="s">
        <v>96</v>
      </c>
      <c r="F32" s="152" t="s">
        <v>5</v>
      </c>
    </row>
    <row r="33" s="129" customFormat="1" ht="18" customHeight="1" spans="1:6">
      <c r="A33" s="134" t="s">
        <v>97</v>
      </c>
      <c r="B33" s="153" t="s">
        <v>98</v>
      </c>
      <c r="C33" s="154">
        <f>SUM(C7:C32)</f>
        <v>8881.780971</v>
      </c>
      <c r="D33" s="155" t="s">
        <v>99</v>
      </c>
      <c r="E33" s="155" t="s">
        <v>100</v>
      </c>
      <c r="F33" s="156">
        <f>SUM(F7:F32)</f>
        <v>9246.439928</v>
      </c>
    </row>
    <row r="34" s="128" customFormat="1" ht="18" customHeight="1" spans="1:6">
      <c r="A34" s="136" t="s">
        <v>101</v>
      </c>
      <c r="B34" s="147" t="s">
        <v>102</v>
      </c>
      <c r="C34" s="148">
        <f>21488566.85/10000</f>
        <v>2148.856685</v>
      </c>
      <c r="D34" s="149" t="s">
        <v>103</v>
      </c>
      <c r="E34" s="150" t="s">
        <v>104</v>
      </c>
      <c r="F34" s="151">
        <f>17841977.34/10000</f>
        <v>1784.197734</v>
      </c>
    </row>
    <row r="35" s="128" customFormat="1" ht="18" customHeight="1" spans="1:6">
      <c r="A35" s="136" t="s">
        <v>105</v>
      </c>
      <c r="B35" s="147" t="s">
        <v>106</v>
      </c>
      <c r="C35" s="148" t="s">
        <v>5</v>
      </c>
      <c r="D35" s="149" t="s">
        <v>107</v>
      </c>
      <c r="E35" s="150" t="s">
        <v>108</v>
      </c>
      <c r="F35" s="151" t="s">
        <v>5</v>
      </c>
    </row>
    <row r="36" s="128" customFormat="1" ht="18" customHeight="1" spans="1:6">
      <c r="A36" s="136" t="s">
        <v>5</v>
      </c>
      <c r="B36" s="147" t="s">
        <v>109</v>
      </c>
      <c r="C36" s="148" t="s">
        <v>5</v>
      </c>
      <c r="D36" s="149" t="s">
        <v>5</v>
      </c>
      <c r="E36" s="150" t="s">
        <v>110</v>
      </c>
      <c r="F36" s="151" t="s">
        <v>5</v>
      </c>
    </row>
    <row r="37" s="129" customFormat="1" ht="18" customHeight="1" spans="1:6">
      <c r="A37" s="134" t="s">
        <v>111</v>
      </c>
      <c r="B37" s="157" t="s">
        <v>112</v>
      </c>
      <c r="C37" s="158">
        <f>SUM(C33:C36)</f>
        <v>11030.637656</v>
      </c>
      <c r="D37" s="159" t="s">
        <v>111</v>
      </c>
      <c r="E37" s="159" t="s">
        <v>113</v>
      </c>
      <c r="F37" s="160">
        <f>SUM(F33:F36)</f>
        <v>11030.637662</v>
      </c>
    </row>
    <row r="38" s="128" customFormat="1" ht="18" customHeight="1" spans="1:6">
      <c r="A38" s="161" t="s">
        <v>114</v>
      </c>
      <c r="B38" s="161" t="s">
        <v>5</v>
      </c>
      <c r="C38" s="161" t="s">
        <v>5</v>
      </c>
      <c r="D38" s="161" t="s">
        <v>5</v>
      </c>
      <c r="E38" s="161" t="s">
        <v>5</v>
      </c>
      <c r="F38" s="161" t="s">
        <v>5</v>
      </c>
    </row>
    <row r="39" s="128" customFormat="1" ht="18" customHeight="1" spans="1:6">
      <c r="A39" s="161" t="s">
        <v>115</v>
      </c>
      <c r="B39" s="161" t="s">
        <v>5</v>
      </c>
      <c r="C39" s="161" t="s">
        <v>5</v>
      </c>
      <c r="D39" s="161" t="s">
        <v>5</v>
      </c>
      <c r="E39" s="161" t="s">
        <v>5</v>
      </c>
      <c r="F39" s="161" t="s">
        <v>5</v>
      </c>
    </row>
    <row r="41" spans="1:6">
      <c r="C41" s="42" t="s">
        <v>116</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0"/>
  <sheetViews>
    <sheetView zoomScaleSheetLayoutView="60" workbookViewId="0">
      <pane xSplit="4" ySplit="8" topLeftCell="E31" activePane="bottomRight" state="frozen"/>
      <selection/>
      <selection pane="topRight"/>
      <selection pane="bottomLeft"/>
      <selection pane="bottomRight" activeCell="D41" sqref="D41"/>
    </sheetView>
  </sheetViews>
  <sheetFormatPr defaultColWidth="8.88571428571429" defaultRowHeight="12.75"/>
  <cols>
    <col min="1" max="1" width="4" style="5" customWidth="1"/>
    <col min="2" max="2" width="3.28571428571429" style="5" customWidth="1"/>
    <col min="3" max="3" width="3.42857142857143" style="5" customWidth="1"/>
    <col min="4" max="4" width="42.2857142857143" style="5" customWidth="1"/>
    <col min="5" max="6" width="17.1333333333333" style="5" customWidth="1"/>
    <col min="7" max="7" width="12.7142857142857" style="5" customWidth="1"/>
    <col min="8" max="8" width="17.1333333333333" style="5" customWidth="1"/>
    <col min="9" max="9" width="16.4285714285714" style="5" customWidth="1"/>
    <col min="10" max="10" width="15.847619047619" style="5" customWidth="1"/>
    <col min="11" max="11" width="16.2857142857143" style="5" customWidth="1"/>
    <col min="12" max="12" width="9.76190476190476" style="5"/>
    <col min="13" max="16384" width="8.88571428571429" style="5"/>
  </cols>
  <sheetData>
    <row r="1" s="1" customFormat="1" ht="22" customHeight="1" spans="1:12">
      <c r="A1" s="6" t="s">
        <v>117</v>
      </c>
      <c r="B1" s="7"/>
      <c r="C1" s="7"/>
      <c r="D1" s="7"/>
      <c r="E1" s="7"/>
      <c r="F1" s="6" t="s">
        <v>117</v>
      </c>
      <c r="G1" s="7"/>
      <c r="H1" s="7"/>
      <c r="I1" s="7"/>
      <c r="J1" s="7"/>
      <c r="K1" s="7"/>
    </row>
    <row r="2" s="2" customFormat="1" ht="21" customHeight="1" spans="1:12">
      <c r="K2" s="8" t="s">
        <v>118</v>
      </c>
    </row>
    <row r="3" s="2" customFormat="1" ht="21" customHeight="1" spans="1:12">
      <c r="A3" s="2" t="str">
        <f>收入支出决算总表!A3</f>
        <v>部门：岳阳县自然资源局</v>
      </c>
      <c r="K3" s="8" t="s">
        <v>3</v>
      </c>
    </row>
    <row r="4" s="3" customFormat="1" ht="21" customHeight="1" spans="1:12">
      <c r="A4" s="9" t="s">
        <v>7</v>
      </c>
      <c r="B4" s="10" t="s">
        <v>5</v>
      </c>
      <c r="C4" s="10" t="s">
        <v>5</v>
      </c>
      <c r="D4" s="10" t="s">
        <v>119</v>
      </c>
      <c r="E4" s="23" t="s">
        <v>97</v>
      </c>
      <c r="F4" s="23" t="s">
        <v>120</v>
      </c>
      <c r="G4" s="23" t="s">
        <v>121</v>
      </c>
      <c r="H4" s="23" t="s">
        <v>122</v>
      </c>
      <c r="I4" s="23" t="s">
        <v>123</v>
      </c>
      <c r="J4" s="23" t="s">
        <v>124</v>
      </c>
      <c r="K4" s="23" t="s">
        <v>125</v>
      </c>
    </row>
    <row r="5" s="3" customFormat="1" ht="15" customHeight="1" spans="1:12">
      <c r="A5" s="11" t="s">
        <v>126</v>
      </c>
      <c r="B5" s="12" t="s">
        <v>5</v>
      </c>
      <c r="C5" s="12" t="s">
        <v>5</v>
      </c>
      <c r="D5" s="13" t="s">
        <v>119</v>
      </c>
      <c r="E5" s="12" t="s">
        <v>5</v>
      </c>
      <c r="F5" s="12" t="s">
        <v>5</v>
      </c>
      <c r="G5" s="12" t="s">
        <v>5</v>
      </c>
      <c r="H5" s="12" t="s">
        <v>5</v>
      </c>
      <c r="I5" s="12" t="s">
        <v>5</v>
      </c>
      <c r="J5" s="12" t="s">
        <v>5</v>
      </c>
      <c r="K5" s="12" t="s">
        <v>127</v>
      </c>
    </row>
    <row r="6" s="3" customFormat="1" ht="12" customHeight="1" spans="1:12">
      <c r="A6" s="11" t="s">
        <v>5</v>
      </c>
      <c r="B6" s="12" t="s">
        <v>5</v>
      </c>
      <c r="C6" s="12" t="s">
        <v>5</v>
      </c>
      <c r="D6" s="13" t="s">
        <v>5</v>
      </c>
      <c r="E6" s="12" t="s">
        <v>5</v>
      </c>
      <c r="F6" s="12" t="s">
        <v>5</v>
      </c>
      <c r="G6" s="12" t="s">
        <v>5</v>
      </c>
      <c r="H6" s="12" t="s">
        <v>5</v>
      </c>
      <c r="I6" s="12" t="s">
        <v>5</v>
      </c>
      <c r="J6" s="12" t="s">
        <v>5</v>
      </c>
      <c r="K6" s="12" t="s">
        <v>5</v>
      </c>
    </row>
    <row r="7" s="3" customFormat="1" ht="10" customHeight="1" spans="1:12">
      <c r="A7" s="11" t="s">
        <v>5</v>
      </c>
      <c r="B7" s="12" t="s">
        <v>5</v>
      </c>
      <c r="C7" s="12" t="s">
        <v>5</v>
      </c>
      <c r="D7" s="13" t="s">
        <v>5</v>
      </c>
      <c r="E7" s="12" t="s">
        <v>5</v>
      </c>
      <c r="F7" s="12" t="s">
        <v>5</v>
      </c>
      <c r="G7" s="12" t="s">
        <v>5</v>
      </c>
      <c r="H7" s="12" t="s">
        <v>5</v>
      </c>
      <c r="I7" s="12" t="s">
        <v>5</v>
      </c>
      <c r="J7" s="12" t="s">
        <v>5</v>
      </c>
      <c r="K7" s="12" t="s">
        <v>5</v>
      </c>
    </row>
    <row r="8" s="3" customFormat="1" ht="21" customHeight="1" spans="1:12">
      <c r="A8" s="43" t="s">
        <v>10</v>
      </c>
      <c r="B8" s="43" t="s">
        <v>128</v>
      </c>
      <c r="C8" s="43" t="s">
        <v>129</v>
      </c>
      <c r="D8" s="43" t="s">
        <v>10</v>
      </c>
      <c r="E8" s="25" t="s">
        <v>11</v>
      </c>
      <c r="F8" s="25" t="s">
        <v>12</v>
      </c>
      <c r="G8" s="25" t="s">
        <v>20</v>
      </c>
      <c r="H8" s="25" t="s">
        <v>24</v>
      </c>
      <c r="I8" s="25" t="s">
        <v>28</v>
      </c>
      <c r="J8" s="25" t="s">
        <v>32</v>
      </c>
      <c r="K8" s="125" t="s">
        <v>36</v>
      </c>
      <c r="L8" s="126"/>
    </row>
    <row r="9" s="3" customFormat="1" ht="21" customHeight="1" spans="1:12">
      <c r="A9" s="107" t="s">
        <v>130</v>
      </c>
      <c r="B9" s="107" t="s">
        <v>5</v>
      </c>
      <c r="C9" s="107" t="s">
        <v>5</v>
      </c>
      <c r="D9" s="107" t="s">
        <v>130</v>
      </c>
      <c r="E9" s="28">
        <f>SUM(F9:K9)</f>
        <v>8881.780971</v>
      </c>
      <c r="F9" s="28">
        <f t="shared" ref="F9:K9" si="0">F10+F17+F21+F25+F28+F34+F37+F40+F43</f>
        <v>7516.047098</v>
      </c>
      <c r="G9" s="28">
        <f t="shared" si="0"/>
        <v>0</v>
      </c>
      <c r="H9" s="28">
        <f t="shared" si="0"/>
        <v>0</v>
      </c>
      <c r="I9" s="28">
        <f t="shared" si="0"/>
        <v>0</v>
      </c>
      <c r="J9" s="28">
        <f t="shared" si="0"/>
        <v>0</v>
      </c>
      <c r="K9" s="28">
        <f t="shared" si="0"/>
        <v>1365.733873</v>
      </c>
      <c r="L9" s="126"/>
    </row>
    <row r="10" s="3" customFormat="1" ht="21" customHeight="1" spans="1:12">
      <c r="A10" s="27" t="s">
        <v>131</v>
      </c>
      <c r="B10" s="27"/>
      <c r="C10" s="27"/>
      <c r="D10" s="27" t="s">
        <v>132</v>
      </c>
      <c r="E10" s="28">
        <f t="shared" ref="E10:E23" si="1">SUM(F10:K10)</f>
        <v>373.851386</v>
      </c>
      <c r="F10" s="28">
        <f t="shared" ref="F10:K10" si="2">F11+F13+F15</f>
        <v>373.851386</v>
      </c>
      <c r="G10" s="28">
        <f t="shared" si="2"/>
        <v>0</v>
      </c>
      <c r="H10" s="28">
        <f t="shared" si="2"/>
        <v>0</v>
      </c>
      <c r="I10" s="28">
        <f t="shared" si="2"/>
        <v>0</v>
      </c>
      <c r="J10" s="28">
        <f t="shared" si="2"/>
        <v>0</v>
      </c>
      <c r="K10" s="28">
        <f t="shared" si="2"/>
        <v>0</v>
      </c>
      <c r="L10" s="126"/>
    </row>
    <row r="11" s="2" customFormat="1" ht="21" customHeight="1" spans="1:12">
      <c r="A11" s="29" t="s">
        <v>133</v>
      </c>
      <c r="B11" s="29"/>
      <c r="C11" s="29"/>
      <c r="D11" s="29" t="s">
        <v>134</v>
      </c>
      <c r="E11" s="31">
        <f t="shared" si="1"/>
        <v>335.25721</v>
      </c>
      <c r="F11" s="31">
        <f t="shared" ref="F11:K11" si="3">F12</f>
        <v>335.25721</v>
      </c>
      <c r="G11" s="31">
        <f t="shared" si="3"/>
        <v>0</v>
      </c>
      <c r="H11" s="31">
        <f t="shared" si="3"/>
        <v>0</v>
      </c>
      <c r="I11" s="31">
        <f t="shared" si="3"/>
        <v>0</v>
      </c>
      <c r="J11" s="31">
        <f t="shared" si="3"/>
        <v>0</v>
      </c>
      <c r="K11" s="31">
        <f t="shared" si="3"/>
        <v>0</v>
      </c>
      <c r="L11" s="127"/>
    </row>
    <row r="12" s="2" customFormat="1" ht="21" customHeight="1" spans="1:12">
      <c r="A12" s="29" t="s">
        <v>135</v>
      </c>
      <c r="B12" s="29"/>
      <c r="C12" s="29"/>
      <c r="D12" s="29" t="s">
        <v>136</v>
      </c>
      <c r="E12" s="31">
        <f t="shared" si="1"/>
        <v>335.25721</v>
      </c>
      <c r="F12" s="31">
        <f>3352572.1/10000</f>
        <v>335.25721</v>
      </c>
      <c r="G12" s="31">
        <v>0</v>
      </c>
      <c r="H12" s="31">
        <v>0</v>
      </c>
      <c r="I12" s="31">
        <v>0</v>
      </c>
      <c r="J12" s="31">
        <v>0</v>
      </c>
      <c r="K12" s="60">
        <v>0</v>
      </c>
      <c r="L12" s="127"/>
    </row>
    <row r="13" s="2" customFormat="1" ht="21" customHeight="1" spans="1:12">
      <c r="A13" s="29" t="s">
        <v>137</v>
      </c>
      <c r="B13" s="29"/>
      <c r="C13" s="29"/>
      <c r="D13" s="29" t="s">
        <v>138</v>
      </c>
      <c r="E13" s="31">
        <f t="shared" si="1"/>
        <v>17.6406</v>
      </c>
      <c r="F13" s="31">
        <f t="shared" ref="F13:K13" si="4">F14</f>
        <v>17.6406</v>
      </c>
      <c r="G13" s="31">
        <f t="shared" si="4"/>
        <v>0</v>
      </c>
      <c r="H13" s="31">
        <f t="shared" si="4"/>
        <v>0</v>
      </c>
      <c r="I13" s="31">
        <f t="shared" si="4"/>
        <v>0</v>
      </c>
      <c r="J13" s="31">
        <f t="shared" si="4"/>
        <v>0</v>
      </c>
      <c r="K13" s="31">
        <f t="shared" si="4"/>
        <v>0</v>
      </c>
      <c r="L13" s="127"/>
    </row>
    <row r="14" s="2" customFormat="1" ht="21" customHeight="1" spans="1:12">
      <c r="A14" s="29" t="s">
        <v>139</v>
      </c>
      <c r="B14" s="29"/>
      <c r="C14" s="29"/>
      <c r="D14" s="29" t="s">
        <v>140</v>
      </c>
      <c r="E14" s="31">
        <f t="shared" si="1"/>
        <v>17.6406</v>
      </c>
      <c r="F14" s="31">
        <f>176406/10000</f>
        <v>17.6406</v>
      </c>
      <c r="G14" s="31">
        <v>0</v>
      </c>
      <c r="H14" s="31">
        <v>0</v>
      </c>
      <c r="I14" s="31">
        <v>0</v>
      </c>
      <c r="J14" s="31">
        <v>0</v>
      </c>
      <c r="K14" s="60">
        <v>0</v>
      </c>
      <c r="L14" s="127"/>
    </row>
    <row r="15" s="2" customFormat="1" ht="21" customHeight="1" spans="1:12">
      <c r="A15" s="29" t="s">
        <v>141</v>
      </c>
      <c r="B15" s="29"/>
      <c r="C15" s="29"/>
      <c r="D15" s="29" t="s">
        <v>142</v>
      </c>
      <c r="E15" s="31">
        <f t="shared" si="1"/>
        <v>20.953576</v>
      </c>
      <c r="F15" s="31">
        <f t="shared" ref="F15:K15" si="5">F16</f>
        <v>20.953576</v>
      </c>
      <c r="G15" s="31">
        <f t="shared" si="5"/>
        <v>0</v>
      </c>
      <c r="H15" s="31">
        <f t="shared" si="5"/>
        <v>0</v>
      </c>
      <c r="I15" s="31">
        <f t="shared" si="5"/>
        <v>0</v>
      </c>
      <c r="J15" s="31">
        <f t="shared" si="5"/>
        <v>0</v>
      </c>
      <c r="K15" s="31">
        <f t="shared" si="5"/>
        <v>0</v>
      </c>
      <c r="L15" s="127"/>
    </row>
    <row r="16" s="2" customFormat="1" ht="21" customHeight="1" spans="1:12">
      <c r="A16" s="29" t="s">
        <v>143</v>
      </c>
      <c r="B16" s="29"/>
      <c r="C16" s="29"/>
      <c r="D16" s="29" t="s">
        <v>142</v>
      </c>
      <c r="E16" s="31">
        <f t="shared" si="1"/>
        <v>20.953576</v>
      </c>
      <c r="F16" s="31">
        <f>209535.76/10000</f>
        <v>20.953576</v>
      </c>
      <c r="G16" s="31">
        <v>0</v>
      </c>
      <c r="H16" s="31">
        <v>0</v>
      </c>
      <c r="I16" s="31">
        <v>0</v>
      </c>
      <c r="J16" s="31">
        <v>0</v>
      </c>
      <c r="K16" s="60">
        <v>0</v>
      </c>
      <c r="L16" s="127"/>
    </row>
    <row r="17" s="3" customFormat="1" ht="21" customHeight="1" spans="1:12">
      <c r="A17" s="27" t="s">
        <v>144</v>
      </c>
      <c r="B17" s="27"/>
      <c r="C17" s="27"/>
      <c r="D17" s="27" t="s">
        <v>145</v>
      </c>
      <c r="E17" s="28">
        <f t="shared" si="1"/>
        <v>199.058969</v>
      </c>
      <c r="F17" s="28">
        <f t="shared" ref="F17:K17" si="6">F18</f>
        <v>199.058969</v>
      </c>
      <c r="G17" s="28">
        <f t="shared" si="6"/>
        <v>0</v>
      </c>
      <c r="H17" s="28">
        <f t="shared" si="6"/>
        <v>0</v>
      </c>
      <c r="I17" s="28">
        <f t="shared" si="6"/>
        <v>0</v>
      </c>
      <c r="J17" s="28">
        <f t="shared" si="6"/>
        <v>0</v>
      </c>
      <c r="K17" s="28">
        <f t="shared" si="6"/>
        <v>0</v>
      </c>
      <c r="L17" s="126"/>
    </row>
    <row r="18" s="2" customFormat="1" ht="21" customHeight="1" spans="1:12">
      <c r="A18" s="29" t="s">
        <v>146</v>
      </c>
      <c r="B18" s="29"/>
      <c r="C18" s="29"/>
      <c r="D18" s="29" t="s">
        <v>147</v>
      </c>
      <c r="E18" s="31">
        <f t="shared" si="1"/>
        <v>199.058969</v>
      </c>
      <c r="F18" s="31">
        <f>F19+F20</f>
        <v>199.058969</v>
      </c>
      <c r="G18" s="31">
        <f t="shared" ref="F18:K18" si="7">G19</f>
        <v>0</v>
      </c>
      <c r="H18" s="31">
        <f t="shared" si="7"/>
        <v>0</v>
      </c>
      <c r="I18" s="31">
        <f t="shared" si="7"/>
        <v>0</v>
      </c>
      <c r="J18" s="31">
        <f t="shared" si="7"/>
        <v>0</v>
      </c>
      <c r="K18" s="31">
        <f t="shared" si="7"/>
        <v>0</v>
      </c>
      <c r="L18" s="127"/>
    </row>
    <row r="19" s="2" customFormat="1" ht="21" customHeight="1" spans="1:12">
      <c r="A19" s="29" t="s">
        <v>148</v>
      </c>
      <c r="B19" s="29"/>
      <c r="C19" s="29"/>
      <c r="D19" s="29" t="s">
        <v>149</v>
      </c>
      <c r="E19" s="31">
        <f t="shared" si="1"/>
        <v>178.105393</v>
      </c>
      <c r="F19" s="31">
        <f>1781053.93/10000</f>
        <v>178.105393</v>
      </c>
      <c r="G19" s="31">
        <v>0</v>
      </c>
      <c r="H19" s="31">
        <v>0</v>
      </c>
      <c r="I19" s="31">
        <v>0</v>
      </c>
      <c r="J19" s="31">
        <v>0</v>
      </c>
      <c r="K19" s="60">
        <v>0</v>
      </c>
      <c r="L19" s="127"/>
    </row>
    <row r="20" s="2" customFormat="1" ht="21" customHeight="1" spans="1:12">
      <c r="A20" s="29">
        <v>2101103</v>
      </c>
      <c r="B20" s="29"/>
      <c r="C20" s="29"/>
      <c r="D20" s="29" t="s">
        <v>150</v>
      </c>
      <c r="E20" s="31">
        <f t="shared" si="1"/>
        <v>20.953576</v>
      </c>
      <c r="F20" s="31">
        <f>209535.76/10000</f>
        <v>20.953576</v>
      </c>
      <c r="G20" s="31">
        <v>0</v>
      </c>
      <c r="H20" s="31">
        <v>0</v>
      </c>
      <c r="I20" s="31">
        <v>0</v>
      </c>
      <c r="J20" s="31">
        <v>0</v>
      </c>
      <c r="K20" s="31">
        <v>0</v>
      </c>
      <c r="L20" s="127"/>
    </row>
    <row r="21" s="3" customFormat="1" ht="21" customHeight="1" spans="1:12">
      <c r="A21" s="27" t="s">
        <v>151</v>
      </c>
      <c r="B21" s="27"/>
      <c r="C21" s="27"/>
      <c r="D21" s="27" t="s">
        <v>152</v>
      </c>
      <c r="E21" s="28">
        <f t="shared" si="1"/>
        <v>539.697962</v>
      </c>
      <c r="F21" s="28">
        <f t="shared" ref="F21:K21" si="8">F22</f>
        <v>539.697962</v>
      </c>
      <c r="G21" s="28">
        <f t="shared" si="8"/>
        <v>0</v>
      </c>
      <c r="H21" s="28">
        <f t="shared" si="8"/>
        <v>0</v>
      </c>
      <c r="I21" s="28">
        <f t="shared" si="8"/>
        <v>0</v>
      </c>
      <c r="J21" s="28">
        <f t="shared" si="8"/>
        <v>0</v>
      </c>
      <c r="K21" s="28">
        <f t="shared" si="8"/>
        <v>0</v>
      </c>
      <c r="L21" s="126"/>
    </row>
    <row r="22" s="2" customFormat="1" ht="21" customHeight="1" spans="1:12">
      <c r="A22" s="29" t="s">
        <v>153</v>
      </c>
      <c r="B22" s="29"/>
      <c r="C22" s="29"/>
      <c r="D22" s="29" t="s">
        <v>154</v>
      </c>
      <c r="E22" s="31">
        <f t="shared" si="1"/>
        <v>539.697962</v>
      </c>
      <c r="F22" s="31">
        <f t="shared" ref="F22:K22" si="9">SUM(F23:F24)</f>
        <v>539.697962</v>
      </c>
      <c r="G22" s="31">
        <f t="shared" si="9"/>
        <v>0</v>
      </c>
      <c r="H22" s="31">
        <f t="shared" si="9"/>
        <v>0</v>
      </c>
      <c r="I22" s="31">
        <f t="shared" si="9"/>
        <v>0</v>
      </c>
      <c r="J22" s="31">
        <f t="shared" si="9"/>
        <v>0</v>
      </c>
      <c r="K22" s="31">
        <f t="shared" si="9"/>
        <v>0</v>
      </c>
      <c r="L22" s="127"/>
    </row>
    <row r="23" s="2" customFormat="1" ht="21" customHeight="1" spans="1:12">
      <c r="A23" s="29" t="s">
        <v>155</v>
      </c>
      <c r="B23" s="29"/>
      <c r="C23" s="29"/>
      <c r="D23" s="29" t="s">
        <v>156</v>
      </c>
      <c r="E23" s="31">
        <f t="shared" si="1"/>
        <v>66.728122</v>
      </c>
      <c r="F23" s="31">
        <f>667281.22/10000</f>
        <v>66.728122</v>
      </c>
      <c r="G23" s="31">
        <v>0</v>
      </c>
      <c r="H23" s="31">
        <v>0</v>
      </c>
      <c r="I23" s="31">
        <v>0</v>
      </c>
      <c r="J23" s="31">
        <v>0</v>
      </c>
      <c r="K23" s="60">
        <v>0</v>
      </c>
      <c r="L23" s="127"/>
    </row>
    <row r="24" s="2" customFormat="1" ht="21" customHeight="1" spans="1:12">
      <c r="A24" s="29" t="s">
        <v>157</v>
      </c>
      <c r="B24" s="29"/>
      <c r="C24" s="29"/>
      <c r="D24" s="29" t="s">
        <v>158</v>
      </c>
      <c r="E24" s="31">
        <f t="shared" ref="E24:E47" si="10">SUM(F24:K24)</f>
        <v>472.96984</v>
      </c>
      <c r="F24" s="31">
        <f>4729698.4/10000</f>
        <v>472.96984</v>
      </c>
      <c r="G24" s="31">
        <v>0</v>
      </c>
      <c r="H24" s="31">
        <v>0</v>
      </c>
      <c r="I24" s="31">
        <v>0</v>
      </c>
      <c r="J24" s="31">
        <v>0</v>
      </c>
      <c r="K24" s="60">
        <v>0</v>
      </c>
      <c r="L24" s="127"/>
    </row>
    <row r="25" s="3" customFormat="1" ht="21" customHeight="1" spans="1:12">
      <c r="A25" s="27">
        <v>205</v>
      </c>
      <c r="B25" s="27"/>
      <c r="C25" s="27"/>
      <c r="D25" s="27" t="s">
        <v>159</v>
      </c>
      <c r="E25" s="28">
        <f t="shared" si="10"/>
        <v>183.61</v>
      </c>
      <c r="F25" s="28">
        <f t="shared" ref="F25:K25" si="11">F26</f>
        <v>183.61</v>
      </c>
      <c r="G25" s="28">
        <f t="shared" si="11"/>
        <v>0</v>
      </c>
      <c r="H25" s="28">
        <f t="shared" si="11"/>
        <v>0</v>
      </c>
      <c r="I25" s="28">
        <f t="shared" si="11"/>
        <v>0</v>
      </c>
      <c r="J25" s="28">
        <f t="shared" si="11"/>
        <v>0</v>
      </c>
      <c r="K25" s="28">
        <f t="shared" si="11"/>
        <v>0</v>
      </c>
      <c r="L25" s="126"/>
    </row>
    <row r="26" s="2" customFormat="1" ht="21" customHeight="1" spans="1:12">
      <c r="A26" s="29">
        <v>20502</v>
      </c>
      <c r="B26" s="29"/>
      <c r="C26" s="29"/>
      <c r="D26" s="29" t="s">
        <v>160</v>
      </c>
      <c r="E26" s="31">
        <f t="shared" si="10"/>
        <v>183.61</v>
      </c>
      <c r="F26" s="31">
        <f t="shared" ref="F26:K26" si="12">F27</f>
        <v>183.61</v>
      </c>
      <c r="G26" s="31">
        <f t="shared" si="12"/>
        <v>0</v>
      </c>
      <c r="H26" s="31">
        <f t="shared" si="12"/>
        <v>0</v>
      </c>
      <c r="I26" s="31">
        <f t="shared" si="12"/>
        <v>0</v>
      </c>
      <c r="J26" s="31">
        <f t="shared" si="12"/>
        <v>0</v>
      </c>
      <c r="K26" s="31">
        <f t="shared" si="12"/>
        <v>0</v>
      </c>
      <c r="L26" s="127"/>
    </row>
    <row r="27" s="2" customFormat="1" ht="21" customHeight="1" spans="1:12">
      <c r="A27" s="29">
        <v>2050299</v>
      </c>
      <c r="B27" s="29"/>
      <c r="C27" s="29"/>
      <c r="D27" s="29" t="s">
        <v>161</v>
      </c>
      <c r="E27" s="31">
        <f t="shared" si="10"/>
        <v>183.61</v>
      </c>
      <c r="F27" s="31">
        <f>1836100/10000</f>
        <v>183.61</v>
      </c>
      <c r="G27" s="31">
        <v>0</v>
      </c>
      <c r="H27" s="31">
        <v>0</v>
      </c>
      <c r="I27" s="31">
        <v>0</v>
      </c>
      <c r="J27" s="31">
        <v>0</v>
      </c>
      <c r="K27" s="60">
        <v>0</v>
      </c>
      <c r="L27" s="127"/>
    </row>
    <row r="28" s="3" customFormat="1" ht="21" customHeight="1" spans="1:12">
      <c r="A28" s="27" t="s">
        <v>162</v>
      </c>
      <c r="B28" s="27"/>
      <c r="C28" s="27"/>
      <c r="D28" s="27" t="s">
        <v>163</v>
      </c>
      <c r="E28" s="28">
        <f t="shared" si="10"/>
        <v>5522.316674</v>
      </c>
      <c r="F28" s="28">
        <f t="shared" ref="F28:K28" si="13">F29</f>
        <v>5522.316674</v>
      </c>
      <c r="G28" s="28">
        <f t="shared" si="13"/>
        <v>0</v>
      </c>
      <c r="H28" s="28">
        <f t="shared" si="13"/>
        <v>0</v>
      </c>
      <c r="I28" s="28">
        <f t="shared" si="13"/>
        <v>0</v>
      </c>
      <c r="J28" s="28">
        <f t="shared" si="13"/>
        <v>0</v>
      </c>
      <c r="K28" s="28">
        <f t="shared" si="13"/>
        <v>0</v>
      </c>
      <c r="L28" s="126"/>
    </row>
    <row r="29" s="2" customFormat="1" ht="21" customHeight="1" spans="1:12">
      <c r="A29" s="29" t="s">
        <v>164</v>
      </c>
      <c r="B29" s="29"/>
      <c r="C29" s="29"/>
      <c r="D29" s="29" t="s">
        <v>165</v>
      </c>
      <c r="E29" s="31">
        <f t="shared" si="10"/>
        <v>5522.316674</v>
      </c>
      <c r="F29" s="31">
        <f t="shared" ref="F29:K29" si="14">SUM(F30:F33)</f>
        <v>5522.316674</v>
      </c>
      <c r="G29" s="31">
        <f t="shared" si="14"/>
        <v>0</v>
      </c>
      <c r="H29" s="31">
        <f t="shared" si="14"/>
        <v>0</v>
      </c>
      <c r="I29" s="31">
        <f t="shared" si="14"/>
        <v>0</v>
      </c>
      <c r="J29" s="31">
        <f t="shared" si="14"/>
        <v>0</v>
      </c>
      <c r="K29" s="31">
        <f t="shared" si="14"/>
        <v>0</v>
      </c>
      <c r="L29" s="127"/>
    </row>
    <row r="30" s="2" customFormat="1" ht="21" customHeight="1" spans="1:12">
      <c r="A30" s="29" t="s">
        <v>166</v>
      </c>
      <c r="B30" s="29"/>
      <c r="C30" s="29"/>
      <c r="D30" s="29" t="s">
        <v>167</v>
      </c>
      <c r="E30" s="31">
        <f t="shared" si="10"/>
        <v>3114.090804</v>
      </c>
      <c r="F30" s="31">
        <f>31140908.04/10000</f>
        <v>3114.090804</v>
      </c>
      <c r="G30" s="31">
        <v>0</v>
      </c>
      <c r="H30" s="31">
        <v>0</v>
      </c>
      <c r="I30" s="31">
        <v>0</v>
      </c>
      <c r="J30" s="31">
        <v>0</v>
      </c>
      <c r="K30" s="60">
        <v>0</v>
      </c>
      <c r="L30" s="127"/>
    </row>
    <row r="31" s="2" customFormat="1" ht="21" customHeight="1" spans="1:12">
      <c r="A31" s="29" t="s">
        <v>168</v>
      </c>
      <c r="B31" s="29"/>
      <c r="C31" s="29"/>
      <c r="D31" s="29" t="s">
        <v>169</v>
      </c>
      <c r="E31" s="31">
        <f t="shared" si="10"/>
        <v>357</v>
      </c>
      <c r="F31" s="31">
        <f>3570000/10000</f>
        <v>357</v>
      </c>
      <c r="G31" s="31">
        <v>0</v>
      </c>
      <c r="H31" s="31">
        <v>0</v>
      </c>
      <c r="I31" s="31">
        <v>0</v>
      </c>
      <c r="J31" s="31">
        <v>0</v>
      </c>
      <c r="K31" s="60">
        <v>0</v>
      </c>
      <c r="L31" s="127"/>
    </row>
    <row r="32" s="2" customFormat="1" ht="21" customHeight="1" spans="1:12">
      <c r="A32" s="29" t="s">
        <v>170</v>
      </c>
      <c r="B32" s="29"/>
      <c r="C32" s="29"/>
      <c r="D32" s="29" t="s">
        <v>171</v>
      </c>
      <c r="E32" s="31">
        <f t="shared" si="10"/>
        <v>159.5861</v>
      </c>
      <c r="F32" s="31">
        <f>1595861/10000</f>
        <v>159.5861</v>
      </c>
      <c r="G32" s="31">
        <v>0</v>
      </c>
      <c r="H32" s="31">
        <v>0</v>
      </c>
      <c r="I32" s="31">
        <v>0</v>
      </c>
      <c r="J32" s="31">
        <v>0</v>
      </c>
      <c r="K32" s="60">
        <v>0</v>
      </c>
      <c r="L32" s="127"/>
    </row>
    <row r="33" s="2" customFormat="1" ht="21" customHeight="1" spans="1:12">
      <c r="A33" s="29" t="s">
        <v>172</v>
      </c>
      <c r="B33" s="29"/>
      <c r="C33" s="29"/>
      <c r="D33" s="29" t="s">
        <v>173</v>
      </c>
      <c r="E33" s="31">
        <f t="shared" si="10"/>
        <v>1891.63977</v>
      </c>
      <c r="F33" s="31">
        <f>18916397.7/10000</f>
        <v>1891.63977</v>
      </c>
      <c r="G33" s="31">
        <v>0</v>
      </c>
      <c r="H33" s="31">
        <v>0</v>
      </c>
      <c r="I33" s="31">
        <v>0</v>
      </c>
      <c r="J33" s="31">
        <v>0</v>
      </c>
      <c r="K33" s="60">
        <v>0</v>
      </c>
      <c r="L33" s="127"/>
    </row>
    <row r="34" s="3" customFormat="1" ht="21" customHeight="1" spans="1:12">
      <c r="A34" s="27" t="s">
        <v>174</v>
      </c>
      <c r="B34" s="27"/>
      <c r="C34" s="27"/>
      <c r="D34" s="27" t="s">
        <v>175</v>
      </c>
      <c r="E34" s="28">
        <f t="shared" si="10"/>
        <v>251.442907</v>
      </c>
      <c r="F34" s="28">
        <f t="shared" ref="F34:K34" si="15">F35</f>
        <v>251.442907</v>
      </c>
      <c r="G34" s="28">
        <f t="shared" si="15"/>
        <v>0</v>
      </c>
      <c r="H34" s="28">
        <f t="shared" si="15"/>
        <v>0</v>
      </c>
      <c r="I34" s="28">
        <f t="shared" si="15"/>
        <v>0</v>
      </c>
      <c r="J34" s="28">
        <f t="shared" si="15"/>
        <v>0</v>
      </c>
      <c r="K34" s="28">
        <f t="shared" si="15"/>
        <v>0</v>
      </c>
      <c r="L34" s="126"/>
    </row>
    <row r="35" s="2" customFormat="1" ht="21" customHeight="1" spans="1:12">
      <c r="A35" s="29" t="s">
        <v>176</v>
      </c>
      <c r="B35" s="29"/>
      <c r="C35" s="29"/>
      <c r="D35" s="29" t="s">
        <v>177</v>
      </c>
      <c r="E35" s="31">
        <f t="shared" si="10"/>
        <v>251.442907</v>
      </c>
      <c r="F35" s="31">
        <f t="shared" ref="F35:K35" si="16">F36</f>
        <v>251.442907</v>
      </c>
      <c r="G35" s="31">
        <f t="shared" si="16"/>
        <v>0</v>
      </c>
      <c r="H35" s="31">
        <f t="shared" si="16"/>
        <v>0</v>
      </c>
      <c r="I35" s="31">
        <f t="shared" si="16"/>
        <v>0</v>
      </c>
      <c r="J35" s="31">
        <f t="shared" si="16"/>
        <v>0</v>
      </c>
      <c r="K35" s="31">
        <f t="shared" si="16"/>
        <v>0</v>
      </c>
      <c r="L35" s="127"/>
    </row>
    <row r="36" s="2" customFormat="1" ht="21" customHeight="1" spans="1:12">
      <c r="A36" s="29" t="s">
        <v>178</v>
      </c>
      <c r="B36" s="29"/>
      <c r="C36" s="29"/>
      <c r="D36" s="29" t="s">
        <v>179</v>
      </c>
      <c r="E36" s="31">
        <f t="shared" si="10"/>
        <v>251.442907</v>
      </c>
      <c r="F36" s="31">
        <f>2514429.07/10000</f>
        <v>251.442907</v>
      </c>
      <c r="G36" s="31">
        <v>0</v>
      </c>
      <c r="H36" s="31">
        <v>0</v>
      </c>
      <c r="I36" s="31">
        <v>0</v>
      </c>
      <c r="J36" s="31">
        <v>0</v>
      </c>
      <c r="K36" s="60">
        <v>0</v>
      </c>
      <c r="L36" s="127"/>
    </row>
    <row r="37" s="3" customFormat="1" ht="21" customHeight="1" spans="1:12">
      <c r="A37" s="27" t="s">
        <v>180</v>
      </c>
      <c r="B37" s="27"/>
      <c r="C37" s="27"/>
      <c r="D37" s="27" t="s">
        <v>181</v>
      </c>
      <c r="E37" s="28">
        <f t="shared" si="10"/>
        <v>10</v>
      </c>
      <c r="F37" s="28">
        <f t="shared" ref="F37:K37" si="17">F38</f>
        <v>10</v>
      </c>
      <c r="G37" s="28">
        <f t="shared" si="17"/>
        <v>0</v>
      </c>
      <c r="H37" s="28">
        <f t="shared" si="17"/>
        <v>0</v>
      </c>
      <c r="I37" s="28">
        <f t="shared" si="17"/>
        <v>0</v>
      </c>
      <c r="J37" s="28">
        <f t="shared" si="17"/>
        <v>0</v>
      </c>
      <c r="K37" s="28">
        <f t="shared" si="17"/>
        <v>0</v>
      </c>
      <c r="L37" s="126"/>
    </row>
    <row r="38" s="2" customFormat="1" ht="21" customHeight="1" spans="1:12">
      <c r="A38" s="29" t="s">
        <v>182</v>
      </c>
      <c r="B38" s="29"/>
      <c r="C38" s="29"/>
      <c r="D38" s="29" t="s">
        <v>183</v>
      </c>
      <c r="E38" s="31">
        <f t="shared" si="10"/>
        <v>10</v>
      </c>
      <c r="F38" s="31">
        <f t="shared" ref="F38:K38" si="18">F39</f>
        <v>10</v>
      </c>
      <c r="G38" s="31">
        <f t="shared" si="18"/>
        <v>0</v>
      </c>
      <c r="H38" s="31">
        <f t="shared" si="18"/>
        <v>0</v>
      </c>
      <c r="I38" s="31">
        <f t="shared" si="18"/>
        <v>0</v>
      </c>
      <c r="J38" s="31">
        <f t="shared" si="18"/>
        <v>0</v>
      </c>
      <c r="K38" s="31">
        <f t="shared" si="18"/>
        <v>0</v>
      </c>
      <c r="L38" s="127"/>
    </row>
    <row r="39" s="2" customFormat="1" ht="21" customHeight="1" spans="1:12">
      <c r="A39" s="29" t="s">
        <v>184</v>
      </c>
      <c r="B39" s="29"/>
      <c r="C39" s="29"/>
      <c r="D39" s="29" t="s">
        <v>183</v>
      </c>
      <c r="E39" s="31">
        <f t="shared" si="10"/>
        <v>10</v>
      </c>
      <c r="F39" s="31">
        <f>100000/10000</f>
        <v>10</v>
      </c>
      <c r="G39" s="31">
        <v>0</v>
      </c>
      <c r="H39" s="31">
        <v>0</v>
      </c>
      <c r="I39" s="31">
        <v>0</v>
      </c>
      <c r="J39" s="31">
        <v>0</v>
      </c>
      <c r="K39" s="60">
        <v>0</v>
      </c>
      <c r="L39" s="127"/>
    </row>
    <row r="40" s="3" customFormat="1" ht="21" customHeight="1" spans="1:12">
      <c r="A40" s="27" t="s">
        <v>185</v>
      </c>
      <c r="B40" s="27"/>
      <c r="C40" s="27"/>
      <c r="D40" s="27" t="s">
        <v>186</v>
      </c>
      <c r="E40" s="28">
        <f t="shared" si="10"/>
        <v>127</v>
      </c>
      <c r="F40" s="28">
        <f t="shared" ref="F40:K40" si="19">F41</f>
        <v>127</v>
      </c>
      <c r="G40" s="28">
        <f t="shared" si="19"/>
        <v>0</v>
      </c>
      <c r="H40" s="28">
        <f t="shared" si="19"/>
        <v>0</v>
      </c>
      <c r="I40" s="28">
        <f t="shared" si="19"/>
        <v>0</v>
      </c>
      <c r="J40" s="28">
        <f t="shared" si="19"/>
        <v>0</v>
      </c>
      <c r="K40" s="28">
        <f t="shared" si="19"/>
        <v>0</v>
      </c>
      <c r="L40" s="126"/>
    </row>
    <row r="41" s="2" customFormat="1" ht="21" customHeight="1" spans="1:12">
      <c r="A41" s="29" t="s">
        <v>187</v>
      </c>
      <c r="B41" s="29"/>
      <c r="C41" s="29"/>
      <c r="D41" s="29" t="s">
        <v>188</v>
      </c>
      <c r="E41" s="31">
        <f t="shared" si="10"/>
        <v>127</v>
      </c>
      <c r="F41" s="31">
        <f t="shared" ref="F41:K41" si="20">F42</f>
        <v>127</v>
      </c>
      <c r="G41" s="31">
        <f t="shared" si="20"/>
        <v>0</v>
      </c>
      <c r="H41" s="31">
        <f t="shared" si="20"/>
        <v>0</v>
      </c>
      <c r="I41" s="31">
        <f t="shared" si="20"/>
        <v>0</v>
      </c>
      <c r="J41" s="31">
        <f t="shared" si="20"/>
        <v>0</v>
      </c>
      <c r="K41" s="31">
        <f t="shared" si="20"/>
        <v>0</v>
      </c>
      <c r="L41" s="127"/>
    </row>
    <row r="42" s="2" customFormat="1" ht="21" customHeight="1" spans="1:12">
      <c r="A42" s="29" t="s">
        <v>189</v>
      </c>
      <c r="B42" s="29"/>
      <c r="C42" s="29"/>
      <c r="D42" s="29" t="s">
        <v>190</v>
      </c>
      <c r="E42" s="31">
        <f t="shared" si="10"/>
        <v>127</v>
      </c>
      <c r="F42" s="31">
        <f>1270000/10000</f>
        <v>127</v>
      </c>
      <c r="G42" s="31">
        <v>0</v>
      </c>
      <c r="H42" s="31">
        <v>0</v>
      </c>
      <c r="I42" s="31">
        <v>0</v>
      </c>
      <c r="J42" s="31">
        <v>0</v>
      </c>
      <c r="K42" s="60">
        <v>0</v>
      </c>
      <c r="L42" s="127"/>
    </row>
    <row r="43" s="3" customFormat="1" ht="21" customHeight="1" spans="1:12">
      <c r="A43" s="27" t="s">
        <v>191</v>
      </c>
      <c r="B43" s="27"/>
      <c r="C43" s="27"/>
      <c r="D43" s="27" t="s">
        <v>192</v>
      </c>
      <c r="E43" s="28">
        <f t="shared" si="10"/>
        <v>1674.803073</v>
      </c>
      <c r="F43" s="28">
        <f>F46+F44</f>
        <v>309.0692</v>
      </c>
      <c r="G43" s="28">
        <f t="shared" ref="F43:K43" si="21">G46</f>
        <v>0</v>
      </c>
      <c r="H43" s="28">
        <f t="shared" si="21"/>
        <v>0</v>
      </c>
      <c r="I43" s="28">
        <f t="shared" si="21"/>
        <v>0</v>
      </c>
      <c r="J43" s="28">
        <f t="shared" si="21"/>
        <v>0</v>
      </c>
      <c r="K43" s="28">
        <f>K46+K44</f>
        <v>1365.733873</v>
      </c>
      <c r="L43" s="126"/>
    </row>
    <row r="44" s="3" customFormat="1" ht="21" customHeight="1" spans="1:12">
      <c r="A44" s="53">
        <v>22904</v>
      </c>
      <c r="B44" s="54"/>
      <c r="C44" s="55"/>
      <c r="D44" s="29" t="s">
        <v>193</v>
      </c>
      <c r="E44" s="31">
        <f t="shared" si="10"/>
        <v>309.0692</v>
      </c>
      <c r="F44" s="28">
        <f>F45</f>
        <v>309.0692</v>
      </c>
      <c r="G44" s="28">
        <v>0</v>
      </c>
      <c r="H44" s="28">
        <v>0</v>
      </c>
      <c r="I44" s="28">
        <v>0</v>
      </c>
      <c r="J44" s="28">
        <v>0</v>
      </c>
      <c r="K44" s="28">
        <v>0</v>
      </c>
      <c r="L44" s="126"/>
    </row>
    <row r="45" s="2" customFormat="1" ht="21" customHeight="1" spans="1:12">
      <c r="A45" s="57">
        <v>2290401</v>
      </c>
      <c r="B45" s="58"/>
      <c r="C45" s="59"/>
      <c r="D45" s="29" t="s">
        <v>194</v>
      </c>
      <c r="E45" s="31">
        <f t="shared" si="10"/>
        <v>309.0692</v>
      </c>
      <c r="F45" s="31">
        <f>3090692/10000</f>
        <v>309.0692</v>
      </c>
      <c r="G45" s="31">
        <v>0</v>
      </c>
      <c r="H45" s="31">
        <v>0</v>
      </c>
      <c r="I45" s="31">
        <v>0</v>
      </c>
      <c r="J45" s="31">
        <v>0</v>
      </c>
      <c r="K45" s="31">
        <v>0</v>
      </c>
      <c r="L45" s="127"/>
    </row>
    <row r="46" s="2" customFormat="1" ht="21" customHeight="1" spans="1:12">
      <c r="A46" s="29" t="s">
        <v>195</v>
      </c>
      <c r="B46" s="29"/>
      <c r="C46" s="29"/>
      <c r="D46" s="29" t="s">
        <v>192</v>
      </c>
      <c r="E46" s="31">
        <f t="shared" si="10"/>
        <v>1365.733873</v>
      </c>
      <c r="F46" s="31">
        <f t="shared" ref="F46:K46" si="22">F47</f>
        <v>0</v>
      </c>
      <c r="G46" s="31">
        <f t="shared" si="22"/>
        <v>0</v>
      </c>
      <c r="H46" s="31">
        <f t="shared" si="22"/>
        <v>0</v>
      </c>
      <c r="I46" s="31">
        <f t="shared" si="22"/>
        <v>0</v>
      </c>
      <c r="J46" s="31">
        <f t="shared" si="22"/>
        <v>0</v>
      </c>
      <c r="K46" s="31">
        <f t="shared" si="22"/>
        <v>1365.733873</v>
      </c>
      <c r="L46" s="127"/>
    </row>
    <row r="47" s="2" customFormat="1" ht="21" customHeight="1" spans="1:12">
      <c r="A47" s="29" t="s">
        <v>196</v>
      </c>
      <c r="B47" s="29"/>
      <c r="C47" s="29"/>
      <c r="D47" s="29" t="s">
        <v>192</v>
      </c>
      <c r="E47" s="31">
        <f t="shared" si="10"/>
        <v>1365.733873</v>
      </c>
      <c r="F47" s="31">
        <v>0</v>
      </c>
      <c r="G47" s="31">
        <v>0</v>
      </c>
      <c r="H47" s="31">
        <v>0</v>
      </c>
      <c r="I47" s="31">
        <v>0</v>
      </c>
      <c r="J47" s="31">
        <v>0</v>
      </c>
      <c r="K47" s="60">
        <f>13657338.73/10000</f>
        <v>1365.733873</v>
      </c>
      <c r="L47" s="127"/>
    </row>
    <row r="48" s="2" customFormat="1" ht="21" customHeight="1" spans="1:12">
      <c r="A48" s="39" t="s">
        <v>197</v>
      </c>
      <c r="B48" s="39" t="s">
        <v>5</v>
      </c>
      <c r="C48" s="39" t="s">
        <v>5</v>
      </c>
      <c r="D48" s="39" t="s">
        <v>5</v>
      </c>
      <c r="E48" s="39" t="s">
        <v>5</v>
      </c>
      <c r="F48" s="39" t="s">
        <v>5</v>
      </c>
      <c r="G48" s="39" t="s">
        <v>5</v>
      </c>
      <c r="H48" s="39" t="s">
        <v>5</v>
      </c>
      <c r="I48" s="39" t="s">
        <v>5</v>
      </c>
      <c r="J48" s="39" t="s">
        <v>5</v>
      </c>
      <c r="K48" s="39" t="s">
        <v>5</v>
      </c>
    </row>
    <row r="50" spans="6:6">
      <c r="F50" s="42" t="s">
        <v>198</v>
      </c>
    </row>
  </sheetData>
  <mergeCells count="102">
    <mergeCell ref="A1:K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K48"/>
    <mergeCell ref="A48:K48"/>
    <mergeCell ref="A48:K48"/>
    <mergeCell ref="A48:K48"/>
    <mergeCell ref="A48:K48"/>
    <mergeCell ref="A48:K48"/>
    <mergeCell ref="A48:K48"/>
    <mergeCell ref="A48:K48"/>
    <mergeCell ref="A48:K48"/>
    <mergeCell ref="A48:K48"/>
    <mergeCell ref="A48:K48"/>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0"/>
  <sheetViews>
    <sheetView zoomScaleSheetLayoutView="60" workbookViewId="0">
      <pane xSplit="4" ySplit="8" topLeftCell="E9" activePane="bottomRight" state="frozen"/>
      <selection/>
      <selection pane="topRight"/>
      <selection pane="bottomLeft"/>
      <selection pane="bottomRight" activeCell="F9" sqref="F9:J9"/>
    </sheetView>
  </sheetViews>
  <sheetFormatPr defaultColWidth="8.88571428571429" defaultRowHeight="12.75"/>
  <cols>
    <col min="1" max="1" width="5.57142857142857" style="5" customWidth="1"/>
    <col min="2" max="2" width="4.28571428571429" style="5" customWidth="1"/>
    <col min="3" max="3" width="3.57142857142857" style="5" customWidth="1"/>
    <col min="4" max="4" width="37.4285714285714" style="5" customWidth="1"/>
    <col min="5" max="10" width="17.1333333333333" style="5" customWidth="1"/>
    <col min="11" max="11" width="9.76190476190476" style="5"/>
    <col min="12" max="16384" width="8.88571428571429" style="5"/>
  </cols>
  <sheetData>
    <row r="1" s="64" customFormat="1" ht="24" customHeight="1" spans="1:11">
      <c r="A1" s="6" t="s">
        <v>199</v>
      </c>
      <c r="B1" s="7"/>
      <c r="C1" s="7"/>
      <c r="D1" s="7"/>
      <c r="E1" s="7"/>
      <c r="F1" s="6" t="s">
        <v>199</v>
      </c>
      <c r="G1" s="7"/>
      <c r="H1" s="7"/>
      <c r="I1" s="7"/>
      <c r="J1" s="7"/>
    </row>
    <row r="2" s="64" customFormat="1" ht="21" customHeight="1" spans="1:11">
      <c r="J2" s="66" t="s">
        <v>200</v>
      </c>
    </row>
    <row r="3" s="64" customFormat="1" ht="21" customHeight="1" spans="1:11">
      <c r="A3" s="67" t="str">
        <f>收入决算表!A3</f>
        <v>部门：岳阳县自然资源局</v>
      </c>
      <c r="J3" s="66" t="s">
        <v>3</v>
      </c>
    </row>
    <row r="4" s="65" customFormat="1" ht="21" customHeight="1" spans="1:11">
      <c r="A4" s="98" t="s">
        <v>7</v>
      </c>
      <c r="B4" s="99" t="s">
        <v>5</v>
      </c>
      <c r="C4" s="99" t="s">
        <v>5</v>
      </c>
      <c r="D4" s="99" t="s">
        <v>119</v>
      </c>
      <c r="E4" s="100" t="s">
        <v>99</v>
      </c>
      <c r="F4" s="100" t="s">
        <v>201</v>
      </c>
      <c r="G4" s="100" t="s">
        <v>202</v>
      </c>
      <c r="H4" s="100" t="s">
        <v>203</v>
      </c>
      <c r="I4" s="100" t="s">
        <v>204</v>
      </c>
      <c r="J4" s="100" t="s">
        <v>205</v>
      </c>
      <c r="K4" s="24"/>
    </row>
    <row r="5" s="65" customFormat="1" ht="21" customHeight="1" spans="1:11">
      <c r="A5" s="101" t="s">
        <v>126</v>
      </c>
      <c r="B5" s="102" t="s">
        <v>5</v>
      </c>
      <c r="C5" s="102" t="s">
        <v>5</v>
      </c>
      <c r="D5" s="103" t="s">
        <v>119</v>
      </c>
      <c r="E5" s="102" t="s">
        <v>5</v>
      </c>
      <c r="F5" s="102" t="s">
        <v>5</v>
      </c>
      <c r="G5" s="102" t="s">
        <v>5</v>
      </c>
      <c r="H5" s="102" t="s">
        <v>5</v>
      </c>
      <c r="I5" s="102" t="s">
        <v>5</v>
      </c>
      <c r="J5" s="102" t="s">
        <v>5</v>
      </c>
      <c r="K5" s="24"/>
    </row>
    <row r="6" s="65" customFormat="1" ht="21" customHeight="1" spans="1:11">
      <c r="A6" s="101" t="s">
        <v>5</v>
      </c>
      <c r="B6" s="102" t="s">
        <v>5</v>
      </c>
      <c r="C6" s="102" t="s">
        <v>5</v>
      </c>
      <c r="D6" s="103" t="s">
        <v>5</v>
      </c>
      <c r="E6" s="102" t="s">
        <v>5</v>
      </c>
      <c r="F6" s="102" t="s">
        <v>5</v>
      </c>
      <c r="G6" s="102" t="s">
        <v>5</v>
      </c>
      <c r="H6" s="102" t="s">
        <v>5</v>
      </c>
      <c r="I6" s="102" t="s">
        <v>5</v>
      </c>
      <c r="J6" s="102" t="s">
        <v>5</v>
      </c>
      <c r="K6" s="24"/>
    </row>
    <row r="7" s="65" customFormat="1" ht="21" customHeight="1" spans="1:11">
      <c r="A7" s="101" t="s">
        <v>5</v>
      </c>
      <c r="B7" s="102" t="s">
        <v>5</v>
      </c>
      <c r="C7" s="102" t="s">
        <v>5</v>
      </c>
      <c r="D7" s="103" t="s">
        <v>5</v>
      </c>
      <c r="E7" s="102" t="s">
        <v>5</v>
      </c>
      <c r="F7" s="102" t="s">
        <v>5</v>
      </c>
      <c r="G7" s="102" t="s">
        <v>5</v>
      </c>
      <c r="H7" s="102" t="s">
        <v>5</v>
      </c>
      <c r="I7" s="102" t="s">
        <v>5</v>
      </c>
      <c r="J7" s="102" t="s">
        <v>5</v>
      </c>
      <c r="K7" s="24"/>
    </row>
    <row r="8" s="65" customFormat="1" ht="21" customHeight="1" spans="1:11">
      <c r="A8" s="104" t="s">
        <v>10</v>
      </c>
      <c r="B8" s="104" t="s">
        <v>128</v>
      </c>
      <c r="C8" s="104" t="s">
        <v>129</v>
      </c>
      <c r="D8" s="104" t="s">
        <v>10</v>
      </c>
      <c r="E8" s="105" t="s">
        <v>11</v>
      </c>
      <c r="F8" s="105" t="s">
        <v>12</v>
      </c>
      <c r="G8" s="105" t="s">
        <v>20</v>
      </c>
      <c r="H8" s="105" t="s">
        <v>24</v>
      </c>
      <c r="I8" s="105" t="s">
        <v>28</v>
      </c>
      <c r="J8" s="106" t="s">
        <v>32</v>
      </c>
      <c r="K8" s="24"/>
    </row>
    <row r="9" s="3" customFormat="1" ht="21" customHeight="1" spans="1:11">
      <c r="A9" s="107" t="s">
        <v>130</v>
      </c>
      <c r="B9" s="107" t="s">
        <v>5</v>
      </c>
      <c r="C9" s="107" t="s">
        <v>5</v>
      </c>
      <c r="D9" s="107" t="s">
        <v>130</v>
      </c>
      <c r="E9" s="108">
        <f>SUM(F9:J9)</f>
        <v>9246.439928</v>
      </c>
      <c r="F9" s="108">
        <f>F13+F20+F24+F28+F34+F37+F40+F43+F10</f>
        <v>6250.934722</v>
      </c>
      <c r="G9" s="108">
        <f>G13+G20+G24+G28+G34+G37+G40+G43+G10</f>
        <v>2995.505206</v>
      </c>
      <c r="H9" s="108">
        <f>H13+H20+H24+H28+H34+H37+H40+H43+H10</f>
        <v>0</v>
      </c>
      <c r="I9" s="108">
        <f>I13+I20+I24+I28+I34+I37+I40+I43+I10</f>
        <v>0</v>
      </c>
      <c r="J9" s="108">
        <f>J13+J20+J24+J28+J34+J37+J40+J43+J10</f>
        <v>0</v>
      </c>
      <c r="K9" s="109"/>
    </row>
    <row r="10" s="3" customFormat="1" ht="21" customHeight="1" spans="1:11">
      <c r="A10" s="110">
        <v>205</v>
      </c>
      <c r="B10" s="111"/>
      <c r="C10" s="112"/>
      <c r="D10" s="113" t="s">
        <v>159</v>
      </c>
      <c r="E10" s="108">
        <f t="shared" ref="E10:E17" si="0">SUM(F10:J10)</f>
        <v>183.61</v>
      </c>
      <c r="F10" s="108">
        <f>F11</f>
        <v>183.61</v>
      </c>
      <c r="G10" s="108">
        <f>G11</f>
        <v>0</v>
      </c>
      <c r="H10" s="108">
        <f>H11</f>
        <v>0</v>
      </c>
      <c r="I10" s="108">
        <f>I11</f>
        <v>0</v>
      </c>
      <c r="J10" s="108">
        <f>J11</f>
        <v>0</v>
      </c>
      <c r="K10" s="109"/>
    </row>
    <row r="11" s="3" customFormat="1" ht="21" customHeight="1" spans="1:11">
      <c r="A11" s="110">
        <v>20502</v>
      </c>
      <c r="B11" s="111"/>
      <c r="C11" s="112"/>
      <c r="D11" s="114" t="s">
        <v>160</v>
      </c>
      <c r="E11" s="115">
        <f t="shared" si="0"/>
        <v>183.61</v>
      </c>
      <c r="F11" s="115">
        <f>F12</f>
        <v>183.61</v>
      </c>
      <c r="G11" s="115">
        <f>G12</f>
        <v>0</v>
      </c>
      <c r="H11" s="115">
        <f>H12</f>
        <v>0</v>
      </c>
      <c r="I11" s="115">
        <f>I12</f>
        <v>0</v>
      </c>
      <c r="J11" s="115">
        <f>J12</f>
        <v>0</v>
      </c>
      <c r="K11" s="109"/>
    </row>
    <row r="12" s="3" customFormat="1" ht="21" customHeight="1" spans="1:11">
      <c r="A12" s="114">
        <v>2050299</v>
      </c>
      <c r="B12" s="114"/>
      <c r="C12" s="114"/>
      <c r="D12" s="114" t="s">
        <v>161</v>
      </c>
      <c r="E12" s="115">
        <f t="shared" si="0"/>
        <v>183.61</v>
      </c>
      <c r="F12" s="115">
        <f>1836100/10000</f>
        <v>183.61</v>
      </c>
      <c r="G12" s="115">
        <v>0</v>
      </c>
      <c r="H12" s="115">
        <v>0</v>
      </c>
      <c r="I12" s="115">
        <v>0</v>
      </c>
      <c r="J12" s="115">
        <v>0</v>
      </c>
      <c r="K12" s="109"/>
    </row>
    <row r="13" s="3" customFormat="1" ht="21" customHeight="1" spans="1:11">
      <c r="A13" s="113" t="s">
        <v>131</v>
      </c>
      <c r="B13" s="113"/>
      <c r="C13" s="113"/>
      <c r="D13" s="113" t="s">
        <v>132</v>
      </c>
      <c r="E13" s="108">
        <f t="shared" si="0"/>
        <v>373.851392</v>
      </c>
      <c r="F13" s="108">
        <f>F14+F16+F18</f>
        <v>373.851392</v>
      </c>
      <c r="G13" s="108">
        <f>G14</f>
        <v>0</v>
      </c>
      <c r="H13" s="108">
        <f>H14</f>
        <v>0</v>
      </c>
      <c r="I13" s="108">
        <f>I14</f>
        <v>0</v>
      </c>
      <c r="J13" s="108">
        <f>J14</f>
        <v>0</v>
      </c>
      <c r="K13" s="109"/>
    </row>
    <row r="14" s="2" customFormat="1" ht="21" customHeight="1" spans="1:11">
      <c r="A14" s="114" t="s">
        <v>133</v>
      </c>
      <c r="B14" s="114"/>
      <c r="C14" s="114"/>
      <c r="D14" s="114" t="s">
        <v>134</v>
      </c>
      <c r="E14" s="115">
        <f t="shared" si="0"/>
        <v>335.257216</v>
      </c>
      <c r="F14" s="115">
        <f>F15</f>
        <v>335.257216</v>
      </c>
      <c r="G14" s="115">
        <f>G15</f>
        <v>0</v>
      </c>
      <c r="H14" s="115">
        <f>H15</f>
        <v>0</v>
      </c>
      <c r="I14" s="115">
        <f>I15</f>
        <v>0</v>
      </c>
      <c r="J14" s="115">
        <f>J15</f>
        <v>0</v>
      </c>
      <c r="K14" s="116"/>
    </row>
    <row r="15" s="2" customFormat="1" ht="21" customHeight="1" spans="1:11">
      <c r="A15" s="114" t="s">
        <v>135</v>
      </c>
      <c r="B15" s="114"/>
      <c r="C15" s="114"/>
      <c r="D15" s="114" t="s">
        <v>136</v>
      </c>
      <c r="E15" s="115">
        <f t="shared" si="0"/>
        <v>335.257216</v>
      </c>
      <c r="F15" s="115">
        <f>3352572.16/10000</f>
        <v>335.257216</v>
      </c>
      <c r="G15" s="115">
        <v>0</v>
      </c>
      <c r="H15" s="115">
        <v>0</v>
      </c>
      <c r="I15" s="115">
        <v>0</v>
      </c>
      <c r="J15" s="117">
        <v>0</v>
      </c>
      <c r="K15" s="116"/>
    </row>
    <row r="16" s="2" customFormat="1" ht="21" customHeight="1" spans="1:11">
      <c r="A16" s="114" t="s">
        <v>137</v>
      </c>
      <c r="B16" s="114"/>
      <c r="C16" s="114"/>
      <c r="D16" s="114" t="s">
        <v>138</v>
      </c>
      <c r="E16" s="115">
        <f t="shared" si="0"/>
        <v>17.6406</v>
      </c>
      <c r="F16" s="115">
        <f>F17</f>
        <v>17.6406</v>
      </c>
      <c r="G16" s="115">
        <f>G17</f>
        <v>0</v>
      </c>
      <c r="H16" s="115">
        <f>H17</f>
        <v>0</v>
      </c>
      <c r="I16" s="115">
        <f>I17</f>
        <v>0</v>
      </c>
      <c r="J16" s="115">
        <f>J17</f>
        <v>0</v>
      </c>
      <c r="K16" s="116"/>
    </row>
    <row r="17" s="2" customFormat="1" ht="21" customHeight="1" spans="1:11">
      <c r="A17" s="114" t="s">
        <v>139</v>
      </c>
      <c r="B17" s="114"/>
      <c r="C17" s="114"/>
      <c r="D17" s="114" t="s">
        <v>140</v>
      </c>
      <c r="E17" s="115">
        <f t="shared" si="0"/>
        <v>17.6406</v>
      </c>
      <c r="F17" s="115">
        <f>176406/10000</f>
        <v>17.6406</v>
      </c>
      <c r="G17" s="115">
        <v>0</v>
      </c>
      <c r="H17" s="115">
        <v>0</v>
      </c>
      <c r="I17" s="115">
        <v>0</v>
      </c>
      <c r="J17" s="117">
        <v>0</v>
      </c>
      <c r="K17" s="116"/>
    </row>
    <row r="18" s="2" customFormat="1" ht="21" customHeight="1" spans="1:11">
      <c r="A18" s="114" t="s">
        <v>141</v>
      </c>
      <c r="B18" s="114"/>
      <c r="C18" s="114"/>
      <c r="D18" s="114" t="s">
        <v>142</v>
      </c>
      <c r="E18" s="115">
        <f t="shared" ref="E18:E27" si="1">SUM(F18:J18)</f>
        <v>20.953576</v>
      </c>
      <c r="F18" s="115">
        <f>F19</f>
        <v>20.953576</v>
      </c>
      <c r="G18" s="115">
        <f>G19</f>
        <v>0</v>
      </c>
      <c r="H18" s="115">
        <f>H19</f>
        <v>0</v>
      </c>
      <c r="I18" s="115">
        <f>I19</f>
        <v>0</v>
      </c>
      <c r="J18" s="115">
        <f>J19</f>
        <v>0</v>
      </c>
      <c r="K18" s="116"/>
    </row>
    <row r="19" s="2" customFormat="1" ht="21" customHeight="1" spans="1:11">
      <c r="A19" s="114" t="s">
        <v>143</v>
      </c>
      <c r="B19" s="114"/>
      <c r="C19" s="114"/>
      <c r="D19" s="114" t="s">
        <v>142</v>
      </c>
      <c r="E19" s="115">
        <f t="shared" si="1"/>
        <v>20.953576</v>
      </c>
      <c r="F19" s="115">
        <f>209535.76/10000</f>
        <v>20.953576</v>
      </c>
      <c r="G19" s="115">
        <v>0</v>
      </c>
      <c r="H19" s="115">
        <v>0</v>
      </c>
      <c r="I19" s="115">
        <v>0</v>
      </c>
      <c r="J19" s="117">
        <v>0</v>
      </c>
      <c r="K19" s="116"/>
    </row>
    <row r="20" s="3" customFormat="1" ht="21" customHeight="1" spans="1:11">
      <c r="A20" s="113" t="s">
        <v>144</v>
      </c>
      <c r="B20" s="113"/>
      <c r="C20" s="113"/>
      <c r="D20" s="113" t="s">
        <v>145</v>
      </c>
      <c r="E20" s="108">
        <f t="shared" si="1"/>
        <v>199.058969</v>
      </c>
      <c r="F20" s="108">
        <f>F21</f>
        <v>199.058969</v>
      </c>
      <c r="G20" s="108">
        <f>G21</f>
        <v>0</v>
      </c>
      <c r="H20" s="108">
        <f>H21</f>
        <v>0</v>
      </c>
      <c r="I20" s="108">
        <f>I21</f>
        <v>0</v>
      </c>
      <c r="J20" s="108">
        <f>J21</f>
        <v>0</v>
      </c>
      <c r="K20" s="109"/>
    </row>
    <row r="21" s="2" customFormat="1" ht="21" customHeight="1" spans="1:11">
      <c r="A21" s="114" t="s">
        <v>146</v>
      </c>
      <c r="B21" s="114"/>
      <c r="C21" s="114"/>
      <c r="D21" s="114" t="s">
        <v>147</v>
      </c>
      <c r="E21" s="115">
        <f t="shared" si="1"/>
        <v>199.058969</v>
      </c>
      <c r="F21" s="115">
        <f>F22+F23</f>
        <v>199.058969</v>
      </c>
      <c r="G21" s="115">
        <f>G22</f>
        <v>0</v>
      </c>
      <c r="H21" s="115">
        <f>H22</f>
        <v>0</v>
      </c>
      <c r="I21" s="115">
        <f>I22</f>
        <v>0</v>
      </c>
      <c r="J21" s="115">
        <f>J22</f>
        <v>0</v>
      </c>
      <c r="K21" s="116"/>
    </row>
    <row r="22" s="2" customFormat="1" ht="21" customHeight="1" spans="1:11">
      <c r="A22" s="114" t="s">
        <v>148</v>
      </c>
      <c r="B22" s="114"/>
      <c r="C22" s="114"/>
      <c r="D22" s="114" t="s">
        <v>149</v>
      </c>
      <c r="E22" s="115">
        <f t="shared" si="1"/>
        <v>178.105393</v>
      </c>
      <c r="F22" s="115">
        <f>1781053.93/10000</f>
        <v>178.105393</v>
      </c>
      <c r="G22" s="115">
        <v>0</v>
      </c>
      <c r="H22" s="115">
        <v>0</v>
      </c>
      <c r="I22" s="115">
        <v>0</v>
      </c>
      <c r="J22" s="117">
        <v>0</v>
      </c>
      <c r="K22" s="116"/>
    </row>
    <row r="23" s="3" customFormat="1" ht="21" customHeight="1" spans="1:11">
      <c r="A23" s="118">
        <v>2101103</v>
      </c>
      <c r="B23" s="119"/>
      <c r="C23" s="120"/>
      <c r="D23" s="114" t="s">
        <v>150</v>
      </c>
      <c r="E23" s="115">
        <f t="shared" si="1"/>
        <v>20.953576</v>
      </c>
      <c r="F23" s="115">
        <f>209535.76/10000</f>
        <v>20.953576</v>
      </c>
      <c r="G23" s="115">
        <v>0</v>
      </c>
      <c r="H23" s="115">
        <v>0</v>
      </c>
      <c r="I23" s="115">
        <v>0</v>
      </c>
      <c r="J23" s="115">
        <v>0</v>
      </c>
      <c r="K23" s="109"/>
    </row>
    <row r="24" s="3" customFormat="1" ht="21" customHeight="1" spans="1:11">
      <c r="A24" s="113" t="s">
        <v>151</v>
      </c>
      <c r="B24" s="113"/>
      <c r="C24" s="113"/>
      <c r="D24" s="113" t="s">
        <v>152</v>
      </c>
      <c r="E24" s="108">
        <f t="shared" si="1"/>
        <v>539.697962</v>
      </c>
      <c r="F24" s="108">
        <f>F25</f>
        <v>118.572212</v>
      </c>
      <c r="G24" s="108">
        <f>G25</f>
        <v>421.12575</v>
      </c>
      <c r="H24" s="108">
        <f>H25</f>
        <v>0</v>
      </c>
      <c r="I24" s="108">
        <f>I25</f>
        <v>0</v>
      </c>
      <c r="J24" s="108">
        <f>J25</f>
        <v>0</v>
      </c>
      <c r="K24" s="109"/>
    </row>
    <row r="25" s="2" customFormat="1" ht="21" customHeight="1" spans="1:11">
      <c r="A25" s="114" t="s">
        <v>153</v>
      </c>
      <c r="B25" s="114"/>
      <c r="C25" s="114"/>
      <c r="D25" s="114" t="s">
        <v>154</v>
      </c>
      <c r="E25" s="115">
        <f t="shared" si="1"/>
        <v>539.697962</v>
      </c>
      <c r="F25" s="115">
        <f>SUM(F26:F27)</f>
        <v>118.572212</v>
      </c>
      <c r="G25" s="115">
        <f>SUM(G26:G27)</f>
        <v>421.12575</v>
      </c>
      <c r="H25" s="115">
        <f>SUM(H26:H27)</f>
        <v>0</v>
      </c>
      <c r="I25" s="115">
        <f>SUM(I26:I27)</f>
        <v>0</v>
      </c>
      <c r="J25" s="115">
        <f>SUM(J26:J27)</f>
        <v>0</v>
      </c>
      <c r="K25" s="116"/>
    </row>
    <row r="26" s="2" customFormat="1" ht="21" customHeight="1" spans="1:11">
      <c r="A26" s="114" t="s">
        <v>155</v>
      </c>
      <c r="B26" s="114"/>
      <c r="C26" s="114"/>
      <c r="D26" s="114" t="s">
        <v>156</v>
      </c>
      <c r="E26" s="115">
        <f t="shared" si="1"/>
        <v>66.728122</v>
      </c>
      <c r="F26" s="115">
        <f>667281.22/10000</f>
        <v>66.728122</v>
      </c>
      <c r="G26" s="115">
        <v>0</v>
      </c>
      <c r="H26" s="115">
        <v>0</v>
      </c>
      <c r="I26" s="115">
        <v>0</v>
      </c>
      <c r="J26" s="117">
        <v>0</v>
      </c>
      <c r="K26" s="116"/>
    </row>
    <row r="27" s="2" customFormat="1" ht="21" customHeight="1" spans="1:11">
      <c r="A27" s="114" t="s">
        <v>157</v>
      </c>
      <c r="B27" s="114"/>
      <c r="C27" s="114"/>
      <c r="D27" s="114" t="s">
        <v>158</v>
      </c>
      <c r="E27" s="115">
        <f t="shared" si="1"/>
        <v>472.96984</v>
      </c>
      <c r="F27" s="115">
        <f>518440.9/10000</f>
        <v>51.84409</v>
      </c>
      <c r="G27" s="115">
        <f>4211257.5/10000</f>
        <v>421.12575</v>
      </c>
      <c r="H27" s="115">
        <v>0</v>
      </c>
      <c r="I27" s="115">
        <v>0</v>
      </c>
      <c r="J27" s="117">
        <v>0</v>
      </c>
      <c r="K27" s="116"/>
    </row>
    <row r="28" s="3" customFormat="1" ht="21" customHeight="1" spans="1:11">
      <c r="A28" s="113" t="s">
        <v>162</v>
      </c>
      <c r="B28" s="113"/>
      <c r="C28" s="113"/>
      <c r="D28" s="113" t="s">
        <v>163</v>
      </c>
      <c r="E28" s="108">
        <f t="shared" ref="E28:E47" si="2">SUM(F28:J28)</f>
        <v>5522.316674</v>
      </c>
      <c r="F28" s="108">
        <f>F29</f>
        <v>4041.310694</v>
      </c>
      <c r="G28" s="108">
        <f>G29</f>
        <v>1481.00598</v>
      </c>
      <c r="H28" s="108">
        <f>H29</f>
        <v>0</v>
      </c>
      <c r="I28" s="108">
        <f>I29</f>
        <v>0</v>
      </c>
      <c r="J28" s="108">
        <f>J29</f>
        <v>0</v>
      </c>
      <c r="K28" s="109"/>
    </row>
    <row r="29" s="2" customFormat="1" ht="21" customHeight="1" spans="1:11">
      <c r="A29" s="114" t="s">
        <v>164</v>
      </c>
      <c r="B29" s="114"/>
      <c r="C29" s="114"/>
      <c r="D29" s="114" t="s">
        <v>165</v>
      </c>
      <c r="E29" s="115">
        <f t="shared" si="2"/>
        <v>5522.316674</v>
      </c>
      <c r="F29" s="115">
        <f>SUM(F30:F33)</f>
        <v>4041.310694</v>
      </c>
      <c r="G29" s="115">
        <f>SUM(G30:G33)</f>
        <v>1481.00598</v>
      </c>
      <c r="H29" s="115">
        <f>SUM(H30:H33)</f>
        <v>0</v>
      </c>
      <c r="I29" s="115">
        <f>SUM(I30:I33)</f>
        <v>0</v>
      </c>
      <c r="J29" s="115">
        <f>SUM(J30:J33)</f>
        <v>0</v>
      </c>
      <c r="K29" s="116"/>
    </row>
    <row r="30" s="2" customFormat="1" ht="21" customHeight="1" spans="1:11">
      <c r="A30" s="114" t="s">
        <v>166</v>
      </c>
      <c r="B30" s="114"/>
      <c r="C30" s="114"/>
      <c r="D30" s="114" t="s">
        <v>167</v>
      </c>
      <c r="E30" s="115">
        <f t="shared" si="2"/>
        <v>3114.090804</v>
      </c>
      <c r="F30" s="115">
        <f>31140908.04/10000</f>
        <v>3114.090804</v>
      </c>
      <c r="G30" s="115">
        <v>0</v>
      </c>
      <c r="H30" s="115">
        <v>0</v>
      </c>
      <c r="I30" s="115">
        <v>0</v>
      </c>
      <c r="J30" s="117">
        <v>0</v>
      </c>
      <c r="K30" s="116"/>
    </row>
    <row r="31" s="2" customFormat="1" ht="21" customHeight="1" spans="1:11">
      <c r="A31" s="114" t="s">
        <v>168</v>
      </c>
      <c r="B31" s="114"/>
      <c r="C31" s="114"/>
      <c r="D31" s="114" t="s">
        <v>169</v>
      </c>
      <c r="E31" s="115">
        <f t="shared" si="2"/>
        <v>357</v>
      </c>
      <c r="F31" s="115">
        <f>2000/10000</f>
        <v>0.2</v>
      </c>
      <c r="G31" s="115">
        <f>3568000/10000</f>
        <v>356.8</v>
      </c>
      <c r="H31" s="115">
        <v>0</v>
      </c>
      <c r="I31" s="115">
        <v>0</v>
      </c>
      <c r="J31" s="117">
        <v>0</v>
      </c>
      <c r="K31" s="116"/>
    </row>
    <row r="32" s="2" customFormat="1" ht="21" customHeight="1" spans="1:11">
      <c r="A32" s="114" t="s">
        <v>170</v>
      </c>
      <c r="B32" s="114"/>
      <c r="C32" s="114"/>
      <c r="D32" s="114" t="s">
        <v>171</v>
      </c>
      <c r="E32" s="115">
        <f t="shared" si="2"/>
        <v>159.5861</v>
      </c>
      <c r="F32" s="115">
        <v>0</v>
      </c>
      <c r="G32" s="115">
        <f>1595861/10000</f>
        <v>159.5861</v>
      </c>
      <c r="H32" s="115">
        <v>0</v>
      </c>
      <c r="I32" s="115">
        <v>0</v>
      </c>
      <c r="J32" s="117">
        <v>0</v>
      </c>
      <c r="K32" s="116"/>
    </row>
    <row r="33" s="2" customFormat="1" ht="21" customHeight="1" spans="1:11">
      <c r="A33" s="114" t="s">
        <v>172</v>
      </c>
      <c r="B33" s="114"/>
      <c r="C33" s="114"/>
      <c r="D33" s="114" t="s">
        <v>173</v>
      </c>
      <c r="E33" s="115">
        <f t="shared" si="2"/>
        <v>1891.63977</v>
      </c>
      <c r="F33" s="115">
        <f>9270198.9/10000</f>
        <v>927.01989</v>
      </c>
      <c r="G33" s="115">
        <f>9646198.8/10000</f>
        <v>964.61988</v>
      </c>
      <c r="H33" s="115">
        <v>0</v>
      </c>
      <c r="I33" s="115">
        <v>0</v>
      </c>
      <c r="J33" s="117">
        <v>0</v>
      </c>
      <c r="K33" s="116"/>
    </row>
    <row r="34" s="3" customFormat="1" ht="21" customHeight="1" spans="1:11">
      <c r="A34" s="113" t="s">
        <v>174</v>
      </c>
      <c r="B34" s="113"/>
      <c r="C34" s="113"/>
      <c r="D34" s="113" t="s">
        <v>175</v>
      </c>
      <c r="E34" s="108">
        <f t="shared" si="2"/>
        <v>251.442907</v>
      </c>
      <c r="F34" s="108">
        <f>F35</f>
        <v>251.442907</v>
      </c>
      <c r="G34" s="108">
        <f>G35</f>
        <v>0</v>
      </c>
      <c r="H34" s="108">
        <f>H35</f>
        <v>0</v>
      </c>
      <c r="I34" s="108">
        <f>I35</f>
        <v>0</v>
      </c>
      <c r="J34" s="108">
        <f>J35</f>
        <v>0</v>
      </c>
      <c r="K34" s="109"/>
    </row>
    <row r="35" s="2" customFormat="1" ht="21" customHeight="1" spans="1:11">
      <c r="A35" s="114" t="s">
        <v>176</v>
      </c>
      <c r="B35" s="114"/>
      <c r="C35" s="114"/>
      <c r="D35" s="114" t="s">
        <v>177</v>
      </c>
      <c r="E35" s="115">
        <f t="shared" si="2"/>
        <v>251.442907</v>
      </c>
      <c r="F35" s="115">
        <f>F36</f>
        <v>251.442907</v>
      </c>
      <c r="G35" s="115">
        <f>G36</f>
        <v>0</v>
      </c>
      <c r="H35" s="115">
        <f>H36</f>
        <v>0</v>
      </c>
      <c r="I35" s="115">
        <f>I36</f>
        <v>0</v>
      </c>
      <c r="J35" s="115">
        <f>J36</f>
        <v>0</v>
      </c>
      <c r="K35" s="116"/>
    </row>
    <row r="36" s="2" customFormat="1" ht="21" customHeight="1" spans="1:11">
      <c r="A36" s="114" t="s">
        <v>178</v>
      </c>
      <c r="B36" s="114"/>
      <c r="C36" s="114"/>
      <c r="D36" s="114" t="s">
        <v>179</v>
      </c>
      <c r="E36" s="115">
        <f t="shared" si="2"/>
        <v>251.442907</v>
      </c>
      <c r="F36" s="115">
        <f>2514429.07/10000</f>
        <v>251.442907</v>
      </c>
      <c r="G36" s="115">
        <v>0</v>
      </c>
      <c r="H36" s="115">
        <v>0</v>
      </c>
      <c r="I36" s="115">
        <v>0</v>
      </c>
      <c r="J36" s="117">
        <v>0</v>
      </c>
      <c r="K36" s="116"/>
    </row>
    <row r="37" s="3" customFormat="1" ht="21" customHeight="1" spans="1:11">
      <c r="A37" s="113" t="s">
        <v>180</v>
      </c>
      <c r="B37" s="113"/>
      <c r="C37" s="113"/>
      <c r="D37" s="113" t="s">
        <v>181</v>
      </c>
      <c r="E37" s="108">
        <f t="shared" si="2"/>
        <v>10</v>
      </c>
      <c r="F37" s="108">
        <f>F38</f>
        <v>0</v>
      </c>
      <c r="G37" s="108">
        <f>G38</f>
        <v>10</v>
      </c>
      <c r="H37" s="108">
        <f>H38</f>
        <v>0</v>
      </c>
      <c r="I37" s="108">
        <f>I38</f>
        <v>0</v>
      </c>
      <c r="J37" s="108">
        <f>J38</f>
        <v>0</v>
      </c>
      <c r="K37" s="109"/>
    </row>
    <row r="38" s="2" customFormat="1" ht="21" customHeight="1" spans="1:11">
      <c r="A38" s="114" t="s">
        <v>182</v>
      </c>
      <c r="B38" s="114"/>
      <c r="C38" s="114"/>
      <c r="D38" s="114" t="s">
        <v>183</v>
      </c>
      <c r="E38" s="115">
        <f t="shared" si="2"/>
        <v>10</v>
      </c>
      <c r="F38" s="115">
        <f>F39</f>
        <v>0</v>
      </c>
      <c r="G38" s="115">
        <f>G39</f>
        <v>10</v>
      </c>
      <c r="H38" s="115">
        <f>H39</f>
        <v>0</v>
      </c>
      <c r="I38" s="115">
        <f>I39</f>
        <v>0</v>
      </c>
      <c r="J38" s="115">
        <f>J39</f>
        <v>0</v>
      </c>
      <c r="K38" s="116"/>
    </row>
    <row r="39" s="2" customFormat="1" ht="21" customHeight="1" spans="1:11">
      <c r="A39" s="114" t="s">
        <v>184</v>
      </c>
      <c r="B39" s="114"/>
      <c r="C39" s="114"/>
      <c r="D39" s="114" t="s">
        <v>183</v>
      </c>
      <c r="E39" s="115">
        <f t="shared" si="2"/>
        <v>10</v>
      </c>
      <c r="F39" s="115">
        <v>0</v>
      </c>
      <c r="G39" s="115">
        <f>100000/10000</f>
        <v>10</v>
      </c>
      <c r="H39" s="115">
        <v>0</v>
      </c>
      <c r="I39" s="115">
        <v>0</v>
      </c>
      <c r="J39" s="117">
        <v>0</v>
      </c>
      <c r="K39" s="116"/>
    </row>
    <row r="40" s="3" customFormat="1" ht="21" customHeight="1" spans="1:11">
      <c r="A40" s="113" t="s">
        <v>185</v>
      </c>
      <c r="B40" s="113"/>
      <c r="C40" s="113"/>
      <c r="D40" s="113" t="s">
        <v>186</v>
      </c>
      <c r="E40" s="108">
        <f t="shared" si="2"/>
        <v>127</v>
      </c>
      <c r="F40" s="108">
        <f>F41</f>
        <v>0</v>
      </c>
      <c r="G40" s="108">
        <f>G41</f>
        <v>127</v>
      </c>
      <c r="H40" s="108">
        <f>H41</f>
        <v>0</v>
      </c>
      <c r="I40" s="108">
        <f>I41</f>
        <v>0</v>
      </c>
      <c r="J40" s="108">
        <f>J41</f>
        <v>0</v>
      </c>
      <c r="K40" s="109"/>
    </row>
    <row r="41" s="2" customFormat="1" ht="21" customHeight="1" spans="1:11">
      <c r="A41" s="114" t="s">
        <v>187</v>
      </c>
      <c r="B41" s="114"/>
      <c r="C41" s="114"/>
      <c r="D41" s="114" t="s">
        <v>188</v>
      </c>
      <c r="E41" s="115">
        <f t="shared" si="2"/>
        <v>127</v>
      </c>
      <c r="F41" s="115">
        <f>F42</f>
        <v>0</v>
      </c>
      <c r="G41" s="115">
        <f>G42</f>
        <v>127</v>
      </c>
      <c r="H41" s="115">
        <f>H42</f>
        <v>0</v>
      </c>
      <c r="I41" s="115">
        <f>I42</f>
        <v>0</v>
      </c>
      <c r="J41" s="115">
        <f>J42</f>
        <v>0</v>
      </c>
      <c r="K41" s="116"/>
    </row>
    <row r="42" s="2" customFormat="1" ht="21" customHeight="1" spans="1:11">
      <c r="A42" s="114" t="s">
        <v>189</v>
      </c>
      <c r="B42" s="114"/>
      <c r="C42" s="114"/>
      <c r="D42" s="114" t="s">
        <v>190</v>
      </c>
      <c r="E42" s="115">
        <f t="shared" si="2"/>
        <v>127</v>
      </c>
      <c r="F42" s="115">
        <f>0/10000</f>
        <v>0</v>
      </c>
      <c r="G42" s="115">
        <f>1270000/10000</f>
        <v>127</v>
      </c>
      <c r="H42" s="115">
        <v>0</v>
      </c>
      <c r="I42" s="115">
        <v>0</v>
      </c>
      <c r="J42" s="117">
        <v>0</v>
      </c>
      <c r="K42" s="116"/>
    </row>
    <row r="43" s="3" customFormat="1" ht="21" customHeight="1" spans="1:11">
      <c r="A43" s="113" t="s">
        <v>191</v>
      </c>
      <c r="B43" s="113"/>
      <c r="C43" s="113"/>
      <c r="D43" s="113" t="s">
        <v>192</v>
      </c>
      <c r="E43" s="108">
        <f t="shared" si="2"/>
        <v>2039.462024</v>
      </c>
      <c r="F43" s="108">
        <f>F46+F44</f>
        <v>1083.088548</v>
      </c>
      <c r="G43" s="108">
        <f>G46+G44</f>
        <v>956.373476</v>
      </c>
      <c r="H43" s="108">
        <f>H46</f>
        <v>0</v>
      </c>
      <c r="I43" s="108">
        <f>I46</f>
        <v>0</v>
      </c>
      <c r="J43" s="108">
        <f>J46</f>
        <v>0</v>
      </c>
      <c r="K43" s="109"/>
    </row>
    <row r="44" s="3" customFormat="1" ht="21" customHeight="1" spans="1:11">
      <c r="A44" s="114">
        <v>22904</v>
      </c>
      <c r="B44" s="114"/>
      <c r="C44" s="114"/>
      <c r="D44" s="114" t="s">
        <v>193</v>
      </c>
      <c r="E44" s="115">
        <f t="shared" si="2"/>
        <v>309.0692</v>
      </c>
      <c r="F44" s="115">
        <f>F45</f>
        <v>90.21</v>
      </c>
      <c r="G44" s="115">
        <f>G45</f>
        <v>218.8592</v>
      </c>
      <c r="H44" s="115">
        <v>0</v>
      </c>
      <c r="I44" s="115">
        <v>0</v>
      </c>
      <c r="J44" s="115">
        <v>0</v>
      </c>
      <c r="K44" s="109"/>
    </row>
    <row r="45" s="3" customFormat="1" ht="21" customHeight="1" spans="1:11">
      <c r="A45" s="118">
        <v>2290401</v>
      </c>
      <c r="B45" s="119"/>
      <c r="C45" s="120"/>
      <c r="D45" s="114" t="s">
        <v>194</v>
      </c>
      <c r="E45" s="115">
        <f t="shared" si="2"/>
        <v>309.0692</v>
      </c>
      <c r="F45" s="121">
        <f>902100/10000</f>
        <v>90.21</v>
      </c>
      <c r="G45" s="121">
        <f>2188592/10000</f>
        <v>218.8592</v>
      </c>
      <c r="H45" s="115">
        <v>0</v>
      </c>
      <c r="I45" s="115">
        <v>0</v>
      </c>
      <c r="J45" s="115">
        <v>0</v>
      </c>
      <c r="K45" s="109"/>
    </row>
    <row r="46" s="2" customFormat="1" ht="21" customHeight="1" spans="1:11">
      <c r="A46" s="114" t="s">
        <v>195</v>
      </c>
      <c r="B46" s="114"/>
      <c r="C46" s="114"/>
      <c r="D46" s="114" t="s">
        <v>192</v>
      </c>
      <c r="E46" s="115">
        <f t="shared" si="2"/>
        <v>1730.392824</v>
      </c>
      <c r="F46" s="115">
        <f>F47</f>
        <v>992.878548</v>
      </c>
      <c r="G46" s="115">
        <f>G47</f>
        <v>737.514276</v>
      </c>
      <c r="H46" s="115">
        <f>H47</f>
        <v>0</v>
      </c>
      <c r="I46" s="115">
        <f>I47</f>
        <v>0</v>
      </c>
      <c r="J46" s="115">
        <f>J47</f>
        <v>0</v>
      </c>
      <c r="K46" s="116"/>
    </row>
    <row r="47" s="2" customFormat="1" ht="21" customHeight="1" spans="1:11">
      <c r="A47" s="122" t="s">
        <v>196</v>
      </c>
      <c r="B47" s="122"/>
      <c r="C47" s="122"/>
      <c r="D47" s="122" t="s">
        <v>192</v>
      </c>
      <c r="E47" s="115">
        <f t="shared" si="2"/>
        <v>1730.392824</v>
      </c>
      <c r="F47" s="121">
        <f>9928785.48/10000</f>
        <v>992.878548</v>
      </c>
      <c r="G47" s="121">
        <f>7375142.76/10000</f>
        <v>737.514276</v>
      </c>
      <c r="H47" s="121">
        <v>0</v>
      </c>
      <c r="I47" s="121">
        <v>0</v>
      </c>
      <c r="J47" s="123">
        <v>0</v>
      </c>
      <c r="K47" s="116"/>
    </row>
    <row r="48" s="64" customFormat="1" ht="21" customHeight="1" spans="1:11">
      <c r="A48" s="124" t="s">
        <v>206</v>
      </c>
      <c r="B48" s="124" t="s">
        <v>5</v>
      </c>
      <c r="C48" s="124" t="s">
        <v>5</v>
      </c>
      <c r="D48" s="124" t="s">
        <v>5</v>
      </c>
      <c r="E48" s="124" t="s">
        <v>5</v>
      </c>
      <c r="F48" s="124" t="s">
        <v>5</v>
      </c>
      <c r="G48" s="124" t="s">
        <v>5</v>
      </c>
      <c r="H48" s="124" t="s">
        <v>5</v>
      </c>
      <c r="I48" s="124" t="s">
        <v>5</v>
      </c>
      <c r="J48" s="124" t="s">
        <v>5</v>
      </c>
    </row>
    <row r="50" spans="6:6">
      <c r="F50" s="42" t="s">
        <v>207</v>
      </c>
    </row>
  </sheetData>
  <mergeCells count="97">
    <mergeCell ref="A1:J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J48"/>
    <mergeCell ref="A48:J48"/>
    <mergeCell ref="A48:J48"/>
    <mergeCell ref="A48:J48"/>
    <mergeCell ref="A48:J48"/>
    <mergeCell ref="A48:J48"/>
    <mergeCell ref="A48:J48"/>
    <mergeCell ref="A48:J48"/>
    <mergeCell ref="A48:J48"/>
    <mergeCell ref="A48:J48"/>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zoomScaleSheetLayoutView="60" workbookViewId="0">
      <pane xSplit="2" ySplit="7" topLeftCell="C8" activePane="bottomRight" state="frozen"/>
      <selection/>
      <selection pane="topRight"/>
      <selection pane="bottomLeft"/>
      <selection pane="bottomRight" activeCell="L15" sqref="L15"/>
    </sheetView>
  </sheetViews>
  <sheetFormatPr defaultColWidth="8.88571428571429" defaultRowHeight="12.75"/>
  <cols>
    <col min="1" max="1" width="29.847619047619" style="5" customWidth="1"/>
    <col min="2" max="2" width="5.42857142857143" style="5" customWidth="1"/>
    <col min="3" max="3" width="17.8571428571429" style="5" customWidth="1"/>
    <col min="4" max="4" width="33.7142857142857" style="5" customWidth="1"/>
    <col min="5" max="5" width="5.42857142857143" style="5" customWidth="1"/>
    <col min="6" max="6" width="16" style="5" customWidth="1"/>
    <col min="7" max="7" width="14.847619047619" style="5" customWidth="1"/>
    <col min="8" max="8" width="15.4285714285714" style="5" customWidth="1"/>
    <col min="9" max="9" width="14.1333333333333" style="5" customWidth="1"/>
    <col min="10" max="10" width="9.76190476190476" style="5"/>
    <col min="11" max="16384" width="8.88571428571429" style="5"/>
  </cols>
  <sheetData>
    <row r="1" s="64" customFormat="1" ht="30" customHeight="1" spans="1:9">
      <c r="A1" s="6" t="s">
        <v>208</v>
      </c>
      <c r="B1" s="7"/>
      <c r="C1" s="7"/>
      <c r="D1" s="6" t="s">
        <v>208</v>
      </c>
      <c r="E1" s="7"/>
      <c r="F1" s="7"/>
      <c r="G1" s="7"/>
      <c r="H1" s="7"/>
      <c r="I1" s="7"/>
    </row>
    <row r="2" s="64" customFormat="1" ht="18" customHeight="1" spans="1:9">
      <c r="I2" s="66" t="s">
        <v>209</v>
      </c>
    </row>
    <row r="3" s="64" customFormat="1" ht="18" customHeight="1" spans="1:9">
      <c r="A3" s="67" t="str">
        <f>支出决算表!A3</f>
        <v>部门：岳阳县自然资源局</v>
      </c>
      <c r="I3" s="66" t="s">
        <v>3</v>
      </c>
    </row>
    <row r="4" s="65" customFormat="1" ht="18" customHeight="1" spans="1:9">
      <c r="A4" s="68" t="s">
        <v>210</v>
      </c>
      <c r="B4" s="69" t="s">
        <v>5</v>
      </c>
      <c r="C4" s="69" t="s">
        <v>5</v>
      </c>
      <c r="D4" s="69" t="s">
        <v>211</v>
      </c>
      <c r="E4" s="69" t="s">
        <v>5</v>
      </c>
      <c r="F4" s="69" t="s">
        <v>5</v>
      </c>
      <c r="G4" s="69" t="s">
        <v>5</v>
      </c>
      <c r="H4" s="69" t="s">
        <v>5</v>
      </c>
      <c r="I4" s="69" t="s">
        <v>5</v>
      </c>
    </row>
    <row r="5" s="65" customFormat="1" ht="18" customHeight="1" spans="1:9">
      <c r="A5" s="70" t="s">
        <v>7</v>
      </c>
      <c r="B5" s="71" t="s">
        <v>8</v>
      </c>
      <c r="C5" s="71" t="s">
        <v>9</v>
      </c>
      <c r="D5" s="71" t="s">
        <v>7</v>
      </c>
      <c r="E5" s="71" t="s">
        <v>8</v>
      </c>
      <c r="F5" s="72" t="s">
        <v>130</v>
      </c>
      <c r="G5" s="71" t="s">
        <v>212</v>
      </c>
      <c r="H5" s="71" t="s">
        <v>213</v>
      </c>
      <c r="I5" s="71" t="s">
        <v>214</v>
      </c>
    </row>
    <row r="6" s="65" customFormat="1" ht="18" customHeight="1" spans="1:9">
      <c r="A6" s="70" t="s">
        <v>5</v>
      </c>
      <c r="B6" s="71" t="s">
        <v>5</v>
      </c>
      <c r="C6" s="71" t="s">
        <v>5</v>
      </c>
      <c r="D6" s="71" t="s">
        <v>5</v>
      </c>
      <c r="E6" s="71" t="s">
        <v>5</v>
      </c>
      <c r="F6" s="72" t="s">
        <v>127</v>
      </c>
      <c r="G6" s="71" t="s">
        <v>212</v>
      </c>
      <c r="H6" s="71" t="s">
        <v>213</v>
      </c>
      <c r="I6" s="71" t="s">
        <v>5</v>
      </c>
    </row>
    <row r="7" s="65" customFormat="1" ht="18" customHeight="1" spans="1:9">
      <c r="A7" s="73" t="s">
        <v>10</v>
      </c>
      <c r="B7" s="72" t="s">
        <v>5</v>
      </c>
      <c r="C7" s="72" t="s">
        <v>11</v>
      </c>
      <c r="D7" s="72" t="s">
        <v>10</v>
      </c>
      <c r="E7" s="72" t="s">
        <v>5</v>
      </c>
      <c r="F7" s="72" t="s">
        <v>12</v>
      </c>
      <c r="G7" s="72" t="s">
        <v>20</v>
      </c>
      <c r="H7" s="72" t="s">
        <v>24</v>
      </c>
      <c r="I7" s="72" t="s">
        <v>28</v>
      </c>
    </row>
    <row r="8" s="64" customFormat="1" ht="18" customHeight="1" spans="1:9">
      <c r="A8" s="74" t="s">
        <v>215</v>
      </c>
      <c r="B8" s="75" t="s">
        <v>11</v>
      </c>
      <c r="C8" s="76">
        <f>一般公共预算财政拨款支出决算表!E9</f>
        <v>6657.279936</v>
      </c>
      <c r="D8" s="77" t="s">
        <v>14</v>
      </c>
      <c r="E8" s="75" t="s">
        <v>18</v>
      </c>
      <c r="F8" s="78">
        <f>SUM(G8:I8)</f>
        <v>0</v>
      </c>
      <c r="G8" s="30">
        <v>0</v>
      </c>
      <c r="H8" s="30">
        <v>0</v>
      </c>
      <c r="I8" s="79">
        <v>0</v>
      </c>
    </row>
    <row r="9" s="64" customFormat="1" ht="18" customHeight="1" spans="1:9">
      <c r="A9" s="74" t="s">
        <v>216</v>
      </c>
      <c r="B9" s="75" t="s">
        <v>12</v>
      </c>
      <c r="C9" s="80">
        <f>政府性基金预算财政拨款收入支出决算表!F7</f>
        <v>848.767162</v>
      </c>
      <c r="D9" s="77" t="s">
        <v>17</v>
      </c>
      <c r="E9" s="75" t="s">
        <v>22</v>
      </c>
      <c r="F9" s="81">
        <f t="shared" ref="F9:F34" si="0">SUM(G9:I9)</f>
        <v>0</v>
      </c>
      <c r="G9" s="31">
        <v>0</v>
      </c>
      <c r="H9" s="31">
        <v>0</v>
      </c>
      <c r="I9" s="60">
        <v>0</v>
      </c>
    </row>
    <row r="10" s="64" customFormat="1" ht="18" customHeight="1" spans="1:9">
      <c r="A10" s="74" t="s">
        <v>217</v>
      </c>
      <c r="B10" s="75" t="s">
        <v>20</v>
      </c>
      <c r="C10" s="80">
        <f>国有资本经营预算财政拨款支出决算表!E9</f>
        <v>10</v>
      </c>
      <c r="D10" s="77" t="s">
        <v>21</v>
      </c>
      <c r="E10" s="75" t="s">
        <v>26</v>
      </c>
      <c r="F10" s="81">
        <f t="shared" si="0"/>
        <v>0</v>
      </c>
      <c r="G10" s="31">
        <v>0</v>
      </c>
      <c r="H10" s="31">
        <v>0</v>
      </c>
      <c r="I10" s="60">
        <v>0</v>
      </c>
    </row>
    <row r="11" s="64" customFormat="1" ht="18" customHeight="1" spans="1:9">
      <c r="A11" s="74" t="s">
        <v>5</v>
      </c>
      <c r="B11" s="75" t="s">
        <v>24</v>
      </c>
      <c r="C11" s="82" t="s">
        <v>5</v>
      </c>
      <c r="D11" s="77" t="s">
        <v>25</v>
      </c>
      <c r="E11" s="75" t="s">
        <v>30</v>
      </c>
      <c r="F11" s="81">
        <f t="shared" si="0"/>
        <v>0</v>
      </c>
      <c r="G11" s="31">
        <v>0</v>
      </c>
      <c r="H11" s="31">
        <v>0</v>
      </c>
      <c r="I11" s="60">
        <v>0</v>
      </c>
    </row>
    <row r="12" s="64" customFormat="1" ht="18" customHeight="1" spans="1:9">
      <c r="A12" s="74" t="s">
        <v>5</v>
      </c>
      <c r="B12" s="75" t="s">
        <v>28</v>
      </c>
      <c r="C12" s="82" t="s">
        <v>5</v>
      </c>
      <c r="D12" s="77" t="s">
        <v>29</v>
      </c>
      <c r="E12" s="75" t="s">
        <v>34</v>
      </c>
      <c r="F12" s="81">
        <f t="shared" si="0"/>
        <v>183.61</v>
      </c>
      <c r="G12" s="31">
        <f>一般公共预算财政拨款支出决算表!E10</f>
        <v>183.61</v>
      </c>
      <c r="H12" s="31">
        <v>0</v>
      </c>
      <c r="I12" s="60">
        <v>0</v>
      </c>
    </row>
    <row r="13" s="64" customFormat="1" ht="18" customHeight="1" spans="1:9">
      <c r="A13" s="74" t="s">
        <v>5</v>
      </c>
      <c r="B13" s="75" t="s">
        <v>32</v>
      </c>
      <c r="C13" s="82" t="s">
        <v>5</v>
      </c>
      <c r="D13" s="77" t="s">
        <v>33</v>
      </c>
      <c r="E13" s="75" t="s">
        <v>38</v>
      </c>
      <c r="F13" s="81">
        <f t="shared" si="0"/>
        <v>0</v>
      </c>
      <c r="G13" s="31">
        <v>0</v>
      </c>
      <c r="H13" s="31">
        <v>0</v>
      </c>
      <c r="I13" s="60">
        <v>0</v>
      </c>
    </row>
    <row r="14" s="64" customFormat="1" ht="18" customHeight="1" spans="1:9">
      <c r="A14" s="74" t="s">
        <v>5</v>
      </c>
      <c r="B14" s="75" t="s">
        <v>36</v>
      </c>
      <c r="C14" s="82" t="s">
        <v>5</v>
      </c>
      <c r="D14" s="77" t="s">
        <v>37</v>
      </c>
      <c r="E14" s="75" t="s">
        <v>42</v>
      </c>
      <c r="F14" s="81">
        <f t="shared" si="0"/>
        <v>0</v>
      </c>
      <c r="G14" s="31">
        <v>0</v>
      </c>
      <c r="H14" s="31">
        <v>0</v>
      </c>
      <c r="I14" s="60">
        <v>0</v>
      </c>
    </row>
    <row r="15" s="64" customFormat="1" ht="18" customHeight="1" spans="1:9">
      <c r="A15" s="74" t="s">
        <v>5</v>
      </c>
      <c r="B15" s="75" t="s">
        <v>40</v>
      </c>
      <c r="C15" s="82" t="s">
        <v>5</v>
      </c>
      <c r="D15" s="77" t="s">
        <v>41</v>
      </c>
      <c r="E15" s="75" t="s">
        <v>45</v>
      </c>
      <c r="F15" s="81">
        <f t="shared" si="0"/>
        <v>373.851386</v>
      </c>
      <c r="G15" s="31">
        <f>一般公共预算财政拨款支出决算表!E13</f>
        <v>373.851386</v>
      </c>
      <c r="H15" s="31">
        <v>0</v>
      </c>
      <c r="I15" s="60">
        <v>0</v>
      </c>
    </row>
    <row r="16" s="64" customFormat="1" ht="18" customHeight="1" spans="1:9">
      <c r="A16" s="74" t="s">
        <v>5</v>
      </c>
      <c r="B16" s="75" t="s">
        <v>43</v>
      </c>
      <c r="C16" s="82" t="s">
        <v>5</v>
      </c>
      <c r="D16" s="77" t="s">
        <v>44</v>
      </c>
      <c r="E16" s="75" t="s">
        <v>48</v>
      </c>
      <c r="F16" s="81">
        <f t="shared" si="0"/>
        <v>199.058969</v>
      </c>
      <c r="G16" s="31">
        <f>一般公共预算财政拨款支出决算表!E20</f>
        <v>199.058969</v>
      </c>
      <c r="H16" s="31">
        <v>0</v>
      </c>
      <c r="I16" s="60">
        <v>0</v>
      </c>
    </row>
    <row r="17" s="64" customFormat="1" ht="18" customHeight="1" spans="1:9">
      <c r="A17" s="74" t="s">
        <v>5</v>
      </c>
      <c r="B17" s="75" t="s">
        <v>46</v>
      </c>
      <c r="C17" s="82" t="s">
        <v>5</v>
      </c>
      <c r="D17" s="77" t="s">
        <v>47</v>
      </c>
      <c r="E17" s="75" t="s">
        <v>51</v>
      </c>
      <c r="F17" s="81">
        <f t="shared" si="0"/>
        <v>0</v>
      </c>
      <c r="G17" s="31">
        <v>0</v>
      </c>
      <c r="H17" s="31">
        <v>0</v>
      </c>
      <c r="I17" s="60">
        <v>0</v>
      </c>
    </row>
    <row r="18" s="64" customFormat="1" ht="18" customHeight="1" spans="1:9">
      <c r="A18" s="74" t="s">
        <v>5</v>
      </c>
      <c r="B18" s="75" t="s">
        <v>49</v>
      </c>
      <c r="C18" s="82" t="s">
        <v>5</v>
      </c>
      <c r="D18" s="77" t="s">
        <v>50</v>
      </c>
      <c r="E18" s="75" t="s">
        <v>54</v>
      </c>
      <c r="F18" s="81">
        <f t="shared" si="0"/>
        <v>848.767162</v>
      </c>
      <c r="G18" s="31">
        <v>0</v>
      </c>
      <c r="H18" s="31">
        <f>政府性基金预算财政拨款收入支出决算表!G7</f>
        <v>848.767162</v>
      </c>
      <c r="I18" s="60">
        <v>0</v>
      </c>
    </row>
    <row r="19" s="64" customFormat="1" ht="18" customHeight="1" spans="1:9">
      <c r="A19" s="74" t="s">
        <v>5</v>
      </c>
      <c r="B19" s="75" t="s">
        <v>52</v>
      </c>
      <c r="C19" s="82" t="s">
        <v>5</v>
      </c>
      <c r="D19" s="77" t="s">
        <v>53</v>
      </c>
      <c r="E19" s="75" t="s">
        <v>57</v>
      </c>
      <c r="F19" s="81">
        <f t="shared" si="0"/>
        <v>0</v>
      </c>
      <c r="G19" s="31">
        <v>0</v>
      </c>
      <c r="H19" s="31">
        <v>0</v>
      </c>
      <c r="I19" s="60">
        <v>0</v>
      </c>
    </row>
    <row r="20" s="64" customFormat="1" ht="18" customHeight="1" spans="1:9">
      <c r="A20" s="74" t="s">
        <v>5</v>
      </c>
      <c r="B20" s="75" t="s">
        <v>55</v>
      </c>
      <c r="C20" s="82" t="s">
        <v>5</v>
      </c>
      <c r="D20" s="77" t="s">
        <v>56</v>
      </c>
      <c r="E20" s="75" t="s">
        <v>60</v>
      </c>
      <c r="F20" s="81">
        <f t="shared" si="0"/>
        <v>0</v>
      </c>
      <c r="G20" s="31">
        <v>0</v>
      </c>
      <c r="H20" s="31">
        <v>0</v>
      </c>
      <c r="I20" s="60">
        <v>0</v>
      </c>
    </row>
    <row r="21" s="64" customFormat="1" ht="18" customHeight="1" spans="1:9">
      <c r="A21" s="74" t="s">
        <v>5</v>
      </c>
      <c r="B21" s="75" t="s">
        <v>58</v>
      </c>
      <c r="C21" s="82" t="s">
        <v>5</v>
      </c>
      <c r="D21" s="77" t="s">
        <v>59</v>
      </c>
      <c r="E21" s="75" t="s">
        <v>63</v>
      </c>
      <c r="F21" s="81">
        <f t="shared" si="0"/>
        <v>0</v>
      </c>
      <c r="G21" s="31">
        <v>0</v>
      </c>
      <c r="H21" s="31">
        <v>0</v>
      </c>
      <c r="I21" s="60">
        <v>0</v>
      </c>
    </row>
    <row r="22" s="64" customFormat="1" ht="18" customHeight="1" spans="1:9">
      <c r="A22" s="74" t="s">
        <v>5</v>
      </c>
      <c r="B22" s="75" t="s">
        <v>61</v>
      </c>
      <c r="C22" s="82" t="s">
        <v>5</v>
      </c>
      <c r="D22" s="77" t="s">
        <v>62</v>
      </c>
      <c r="E22" s="75" t="s">
        <v>66</v>
      </c>
      <c r="F22" s="81">
        <f t="shared" si="0"/>
        <v>0</v>
      </c>
      <c r="G22" s="31">
        <v>0</v>
      </c>
      <c r="H22" s="31">
        <v>0</v>
      </c>
      <c r="I22" s="60">
        <v>0</v>
      </c>
    </row>
    <row r="23" s="64" customFormat="1" ht="18" customHeight="1" spans="1:9">
      <c r="A23" s="74" t="s">
        <v>5</v>
      </c>
      <c r="B23" s="75" t="s">
        <v>64</v>
      </c>
      <c r="C23" s="82" t="s">
        <v>5</v>
      </c>
      <c r="D23" s="77" t="s">
        <v>65</v>
      </c>
      <c r="E23" s="75" t="s">
        <v>69</v>
      </c>
      <c r="F23" s="81">
        <f t="shared" si="0"/>
        <v>0</v>
      </c>
      <c r="G23" s="31">
        <v>0</v>
      </c>
      <c r="H23" s="31">
        <v>0</v>
      </c>
      <c r="I23" s="60">
        <v>0</v>
      </c>
    </row>
    <row r="24" s="64" customFormat="1" ht="18" customHeight="1" spans="1:9">
      <c r="A24" s="74" t="s">
        <v>5</v>
      </c>
      <c r="B24" s="75" t="s">
        <v>67</v>
      </c>
      <c r="C24" s="82" t="s">
        <v>5</v>
      </c>
      <c r="D24" s="77" t="s">
        <v>68</v>
      </c>
      <c r="E24" s="75" t="s">
        <v>72</v>
      </c>
      <c r="F24" s="81">
        <f t="shared" si="0"/>
        <v>0</v>
      </c>
      <c r="G24" s="31">
        <v>0</v>
      </c>
      <c r="H24" s="31">
        <v>0</v>
      </c>
      <c r="I24" s="60">
        <v>0</v>
      </c>
    </row>
    <row r="25" s="64" customFormat="1" ht="18" customHeight="1" spans="1:9">
      <c r="A25" s="74" t="s">
        <v>5</v>
      </c>
      <c r="B25" s="75" t="s">
        <v>70</v>
      </c>
      <c r="C25" s="82" t="s">
        <v>5</v>
      </c>
      <c r="D25" s="77" t="s">
        <v>71</v>
      </c>
      <c r="E25" s="75" t="s">
        <v>75</v>
      </c>
      <c r="F25" s="81">
        <f t="shared" si="0"/>
        <v>5522.316674</v>
      </c>
      <c r="G25" s="31">
        <f>一般公共预算财政拨款支出决算表!E24</f>
        <v>5522.316674</v>
      </c>
      <c r="H25" s="31">
        <v>0</v>
      </c>
      <c r="I25" s="60">
        <v>0</v>
      </c>
    </row>
    <row r="26" s="64" customFormat="1" ht="18" customHeight="1" spans="1:9">
      <c r="A26" s="74" t="s">
        <v>5</v>
      </c>
      <c r="B26" s="75" t="s">
        <v>73</v>
      </c>
      <c r="C26" s="82" t="s">
        <v>5</v>
      </c>
      <c r="D26" s="77" t="s">
        <v>74</v>
      </c>
      <c r="E26" s="75" t="s">
        <v>78</v>
      </c>
      <c r="F26" s="81">
        <f t="shared" si="0"/>
        <v>251.442907</v>
      </c>
      <c r="G26" s="31">
        <f>一般公共预算财政拨款支出决算表!E30</f>
        <v>251.442907</v>
      </c>
      <c r="H26" s="31">
        <v>0</v>
      </c>
      <c r="I26" s="60">
        <v>0</v>
      </c>
    </row>
    <row r="27" s="64" customFormat="1" ht="18" customHeight="1" spans="1:9">
      <c r="A27" s="74" t="s">
        <v>5</v>
      </c>
      <c r="B27" s="75" t="s">
        <v>76</v>
      </c>
      <c r="C27" s="82" t="s">
        <v>5</v>
      </c>
      <c r="D27" s="77" t="s">
        <v>77</v>
      </c>
      <c r="E27" s="75" t="s">
        <v>81</v>
      </c>
      <c r="F27" s="81">
        <f t="shared" si="0"/>
        <v>0</v>
      </c>
      <c r="G27" s="31">
        <v>0</v>
      </c>
      <c r="H27" s="31">
        <v>0</v>
      </c>
      <c r="I27" s="60">
        <v>0</v>
      </c>
    </row>
    <row r="28" s="64" customFormat="1" ht="18" customHeight="1" spans="1:9">
      <c r="A28" s="74" t="s">
        <v>5</v>
      </c>
      <c r="B28" s="75" t="s">
        <v>79</v>
      </c>
      <c r="C28" s="82" t="s">
        <v>5</v>
      </c>
      <c r="D28" s="77" t="s">
        <v>80</v>
      </c>
      <c r="E28" s="75" t="s">
        <v>84</v>
      </c>
      <c r="F28" s="81">
        <f t="shared" si="0"/>
        <v>10</v>
      </c>
      <c r="G28" s="31">
        <v>0</v>
      </c>
      <c r="H28" s="31">
        <v>0</v>
      </c>
      <c r="I28" s="60">
        <f>国有资本经营预算财政拨款支出决算表!E10</f>
        <v>10</v>
      </c>
    </row>
    <row r="29" s="64" customFormat="1" ht="18" customHeight="1" spans="1:9">
      <c r="A29" s="74" t="s">
        <v>5</v>
      </c>
      <c r="B29" s="75" t="s">
        <v>82</v>
      </c>
      <c r="C29" s="82" t="s">
        <v>5</v>
      </c>
      <c r="D29" s="77" t="s">
        <v>83</v>
      </c>
      <c r="E29" s="75" t="s">
        <v>87</v>
      </c>
      <c r="F29" s="81">
        <f t="shared" si="0"/>
        <v>127</v>
      </c>
      <c r="G29" s="31">
        <f>一般公共预算财政拨款支出决算表!E33</f>
        <v>127</v>
      </c>
      <c r="H29" s="31">
        <v>0</v>
      </c>
      <c r="I29" s="60">
        <v>0</v>
      </c>
    </row>
    <row r="30" s="64" customFormat="1" ht="18" customHeight="1" spans="1:9">
      <c r="A30" s="74" t="s">
        <v>5</v>
      </c>
      <c r="B30" s="75" t="s">
        <v>85</v>
      </c>
      <c r="C30" s="82" t="s">
        <v>5</v>
      </c>
      <c r="D30" s="77" t="s">
        <v>86</v>
      </c>
      <c r="E30" s="75" t="s">
        <v>90</v>
      </c>
      <c r="F30" s="81">
        <f t="shared" si="0"/>
        <v>0</v>
      </c>
      <c r="G30" s="31">
        <v>0</v>
      </c>
      <c r="H30" s="31">
        <v>0</v>
      </c>
      <c r="I30" s="60">
        <v>0</v>
      </c>
    </row>
    <row r="31" s="64" customFormat="1" ht="18" customHeight="1" spans="1:9">
      <c r="A31" s="73" t="s">
        <v>5</v>
      </c>
      <c r="B31" s="75" t="s">
        <v>88</v>
      </c>
      <c r="C31" s="82" t="s">
        <v>5</v>
      </c>
      <c r="D31" s="77" t="s">
        <v>89</v>
      </c>
      <c r="E31" s="75" t="s">
        <v>93</v>
      </c>
      <c r="F31" s="81">
        <f t="shared" si="0"/>
        <v>0</v>
      </c>
      <c r="G31" s="31">
        <v>0</v>
      </c>
      <c r="H31" s="31">
        <v>0</v>
      </c>
      <c r="I31" s="60">
        <v>0</v>
      </c>
    </row>
    <row r="32" s="64" customFormat="1" ht="18" customHeight="1" spans="1:9">
      <c r="A32" s="74" t="s">
        <v>5</v>
      </c>
      <c r="B32" s="75" t="s">
        <v>91</v>
      </c>
      <c r="C32" s="82" t="s">
        <v>5</v>
      </c>
      <c r="D32" s="77" t="s">
        <v>92</v>
      </c>
      <c r="E32" s="75" t="s">
        <v>96</v>
      </c>
      <c r="F32" s="81">
        <f t="shared" si="0"/>
        <v>0</v>
      </c>
      <c r="G32" s="31">
        <v>0</v>
      </c>
      <c r="H32" s="31">
        <v>0</v>
      </c>
      <c r="I32" s="60">
        <v>0</v>
      </c>
    </row>
    <row r="33" s="64" customFormat="1" ht="18" customHeight="1" spans="1:9">
      <c r="A33" s="74" t="s">
        <v>5</v>
      </c>
      <c r="B33" s="75" t="s">
        <v>94</v>
      </c>
      <c r="C33" s="82" t="s">
        <v>5</v>
      </c>
      <c r="D33" s="77" t="s">
        <v>95</v>
      </c>
      <c r="E33" s="75" t="s">
        <v>100</v>
      </c>
      <c r="F33" s="81">
        <f t="shared" si="0"/>
        <v>0</v>
      </c>
      <c r="G33" s="31">
        <v>0</v>
      </c>
      <c r="H33" s="31">
        <v>0</v>
      </c>
      <c r="I33" s="60">
        <v>0</v>
      </c>
    </row>
    <row r="34" s="65" customFormat="1" ht="18" customHeight="1" spans="1:9">
      <c r="A34" s="73" t="s">
        <v>97</v>
      </c>
      <c r="B34" s="72" t="s">
        <v>98</v>
      </c>
      <c r="C34" s="83">
        <f t="shared" ref="C34:I34" si="1">SUM(C8:C33)</f>
        <v>7516.047098</v>
      </c>
      <c r="D34" s="72" t="s">
        <v>99</v>
      </c>
      <c r="E34" s="72" t="s">
        <v>104</v>
      </c>
      <c r="F34" s="84">
        <f t="shared" si="0"/>
        <v>7516.047098</v>
      </c>
      <c r="G34" s="85">
        <f t="shared" si="1"/>
        <v>6657.279936</v>
      </c>
      <c r="H34" s="85">
        <f t="shared" si="1"/>
        <v>848.767162</v>
      </c>
      <c r="I34" s="86">
        <f t="shared" si="1"/>
        <v>10</v>
      </c>
    </row>
    <row r="35" s="64" customFormat="1" ht="18" customHeight="1" spans="1:9">
      <c r="A35" s="74" t="s">
        <v>218</v>
      </c>
      <c r="B35" s="75" t="s">
        <v>102</v>
      </c>
      <c r="C35" s="87" t="s">
        <v>5</v>
      </c>
      <c r="D35" s="77" t="s">
        <v>219</v>
      </c>
      <c r="E35" s="75" t="s">
        <v>108</v>
      </c>
      <c r="F35" s="88" t="s">
        <v>5</v>
      </c>
      <c r="G35" s="89" t="s">
        <v>5</v>
      </c>
      <c r="H35" s="89" t="s">
        <v>5</v>
      </c>
      <c r="I35" s="90" t="s">
        <v>5</v>
      </c>
    </row>
    <row r="36" s="64" customFormat="1" ht="18" customHeight="1" spans="1:9">
      <c r="A36" s="74" t="s">
        <v>220</v>
      </c>
      <c r="B36" s="75" t="s">
        <v>106</v>
      </c>
      <c r="C36" s="91" t="s">
        <v>5</v>
      </c>
      <c r="D36" s="77" t="s">
        <v>5</v>
      </c>
      <c r="E36" s="75" t="s">
        <v>110</v>
      </c>
      <c r="F36" s="92" t="s">
        <v>5</v>
      </c>
      <c r="G36" s="93" t="s">
        <v>5</v>
      </c>
      <c r="H36" s="93" t="s">
        <v>5</v>
      </c>
      <c r="I36" s="94" t="s">
        <v>5</v>
      </c>
    </row>
    <row r="37" s="64" customFormat="1" ht="18" customHeight="1" spans="1:9">
      <c r="A37" s="74" t="s">
        <v>221</v>
      </c>
      <c r="B37" s="75" t="s">
        <v>109</v>
      </c>
      <c r="C37" s="91" t="s">
        <v>5</v>
      </c>
      <c r="D37" s="77" t="s">
        <v>5</v>
      </c>
      <c r="E37" s="75" t="s">
        <v>113</v>
      </c>
      <c r="F37" s="91" t="s">
        <v>5</v>
      </c>
      <c r="G37" s="91" t="s">
        <v>5</v>
      </c>
      <c r="H37" s="91" t="s">
        <v>5</v>
      </c>
      <c r="I37" s="91" t="s">
        <v>5</v>
      </c>
    </row>
    <row r="38" s="64" customFormat="1" ht="18" customHeight="1" spans="1:9">
      <c r="A38" s="74" t="s">
        <v>222</v>
      </c>
      <c r="B38" s="75" t="s">
        <v>112</v>
      </c>
      <c r="C38" s="91" t="s">
        <v>5</v>
      </c>
      <c r="D38" s="77" t="s">
        <v>5</v>
      </c>
      <c r="E38" s="75" t="s">
        <v>223</v>
      </c>
      <c r="F38" s="91" t="s">
        <v>5</v>
      </c>
      <c r="G38" s="91" t="s">
        <v>5</v>
      </c>
      <c r="H38" s="91" t="s">
        <v>5</v>
      </c>
      <c r="I38" s="91" t="s">
        <v>5</v>
      </c>
    </row>
    <row r="39" s="65" customFormat="1" ht="18" customHeight="1" spans="1:9">
      <c r="A39" s="73" t="s">
        <v>111</v>
      </c>
      <c r="B39" s="95" t="s">
        <v>15</v>
      </c>
      <c r="C39" s="96" t="s">
        <v>5</v>
      </c>
      <c r="D39" s="72" t="s">
        <v>111</v>
      </c>
      <c r="E39" s="72" t="s">
        <v>224</v>
      </c>
      <c r="F39" s="96">
        <f>SUM(F34:F38)</f>
        <v>7516.047098</v>
      </c>
      <c r="G39" s="96">
        <f>SUM(G34:G38)</f>
        <v>6657.279936</v>
      </c>
      <c r="H39" s="96">
        <f>SUM(H34:H38)</f>
        <v>848.767162</v>
      </c>
      <c r="I39" s="96">
        <f>SUM(I34:I38)</f>
        <v>10</v>
      </c>
    </row>
    <row r="40" s="64" customFormat="1" ht="18" customHeight="1" spans="1:9">
      <c r="A40" s="97" t="s">
        <v>225</v>
      </c>
      <c r="B40" s="97" t="s">
        <v>5</v>
      </c>
      <c r="C40" s="97" t="s">
        <v>5</v>
      </c>
      <c r="D40" s="97" t="s">
        <v>5</v>
      </c>
      <c r="E40" s="97" t="s">
        <v>5</v>
      </c>
      <c r="F40" s="97" t="s">
        <v>5</v>
      </c>
      <c r="G40" s="97" t="s">
        <v>5</v>
      </c>
      <c r="H40" s="97" t="s">
        <v>5</v>
      </c>
      <c r="I40" s="97" t="s">
        <v>5</v>
      </c>
    </row>
    <row r="41" s="64" customFormat="1" ht="18" customHeight="1" spans="1:9">
      <c r="A41" s="97" t="s">
        <v>226</v>
      </c>
      <c r="B41" s="97" t="s">
        <v>5</v>
      </c>
      <c r="C41" s="97" t="s">
        <v>5</v>
      </c>
      <c r="D41" s="97" t="s">
        <v>5</v>
      </c>
      <c r="E41" s="97" t="s">
        <v>5</v>
      </c>
      <c r="F41" s="97" t="s">
        <v>5</v>
      </c>
      <c r="G41" s="97" t="s">
        <v>5</v>
      </c>
      <c r="H41" s="97" t="s">
        <v>5</v>
      </c>
      <c r="I41" s="97" t="s">
        <v>5</v>
      </c>
    </row>
    <row r="43" spans="1:9">
      <c r="D43" s="42" t="s">
        <v>227</v>
      </c>
    </row>
  </sheetData>
  <mergeCells count="46">
    <mergeCell ref="A1:I1"/>
    <mergeCell ref="A4:C4"/>
    <mergeCell ref="A4:C4"/>
    <mergeCell ref="A4:C4"/>
    <mergeCell ref="D4:I4"/>
    <mergeCell ref="D4:I4"/>
    <mergeCell ref="D4:I4"/>
    <mergeCell ref="D4:I4"/>
    <mergeCell ref="D4:I4"/>
    <mergeCell ref="D4:I4"/>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zoomScaleSheetLayoutView="60" workbookViewId="0">
      <pane xSplit="4" ySplit="8" topLeftCell="E9" activePane="bottomRight" state="frozen"/>
      <selection/>
      <selection pane="topRight"/>
      <selection pane="bottomLeft"/>
      <selection pane="bottomRight" activeCell="E29" sqref="E29"/>
    </sheetView>
  </sheetViews>
  <sheetFormatPr defaultColWidth="8.88571428571429" defaultRowHeight="12.75"/>
  <cols>
    <col min="1" max="1" width="4" style="5" customWidth="1"/>
    <col min="2" max="2" width="4.42857142857143" style="5" customWidth="1"/>
    <col min="3" max="3" width="4.13333333333333" style="5" customWidth="1"/>
    <col min="4" max="4" width="33.5714285714286" style="5" customWidth="1"/>
    <col min="5" max="7" width="16" style="5" customWidth="1"/>
    <col min="8" max="8" width="9.76190476190476" style="5"/>
    <col min="9" max="16384" width="8.88571428571429" style="5"/>
  </cols>
  <sheetData>
    <row r="1" s="1" customFormat="1" ht="27" customHeight="1" spans="1:11">
      <c r="A1" s="6" t="s">
        <v>228</v>
      </c>
      <c r="B1" s="7"/>
      <c r="C1" s="7"/>
      <c r="D1" s="7"/>
      <c r="E1" s="6" t="s">
        <v>228</v>
      </c>
      <c r="F1" s="7"/>
      <c r="G1" s="7"/>
    </row>
    <row r="2" s="2" customFormat="1" ht="20" customHeight="1" spans="1:11">
      <c r="G2" s="8" t="s">
        <v>229</v>
      </c>
    </row>
    <row r="3" s="2" customFormat="1" ht="20" customHeight="1" spans="1:11">
      <c r="A3" s="2" t="str">
        <f>财政拨款收入支出决算总表!A3</f>
        <v>部门：岳阳县自然资源局</v>
      </c>
      <c r="G3" s="8" t="s">
        <v>3</v>
      </c>
    </row>
    <row r="4" s="3" customFormat="1" ht="20" customHeight="1" spans="1:11">
      <c r="A4" s="22" t="s">
        <v>7</v>
      </c>
      <c r="B4" s="23" t="s">
        <v>5</v>
      </c>
      <c r="C4" s="23" t="s">
        <v>5</v>
      </c>
      <c r="D4" s="23" t="s">
        <v>119</v>
      </c>
      <c r="E4" s="23" t="s">
        <v>230</v>
      </c>
      <c r="F4" s="23" t="s">
        <v>5</v>
      </c>
      <c r="G4" s="23" t="s">
        <v>5</v>
      </c>
      <c r="K4" s="3" t="s">
        <v>231</v>
      </c>
    </row>
    <row r="5" s="3" customFormat="1" ht="20" customHeight="1" spans="1:11">
      <c r="A5" s="11" t="s">
        <v>126</v>
      </c>
      <c r="B5" s="12" t="s">
        <v>5</v>
      </c>
      <c r="C5" s="12" t="s">
        <v>5</v>
      </c>
      <c r="D5" s="12" t="s">
        <v>119</v>
      </c>
      <c r="E5" s="12" t="s">
        <v>127</v>
      </c>
      <c r="F5" s="12" t="s">
        <v>201</v>
      </c>
      <c r="G5" s="12" t="s">
        <v>202</v>
      </c>
    </row>
    <row r="6" s="3" customFormat="1" ht="20" customHeight="1" spans="1:11">
      <c r="A6" s="11" t="s">
        <v>5</v>
      </c>
      <c r="B6" s="12" t="s">
        <v>5</v>
      </c>
      <c r="C6" s="12" t="s">
        <v>5</v>
      </c>
      <c r="D6" s="12" t="s">
        <v>5</v>
      </c>
      <c r="E6" s="12" t="s">
        <v>5</v>
      </c>
      <c r="F6" s="12" t="s">
        <v>127</v>
      </c>
      <c r="G6" s="12" t="s">
        <v>127</v>
      </c>
      <c r="I6" s="3" t="s">
        <v>232</v>
      </c>
    </row>
    <row r="7" s="3" customFormat="1" ht="20" customHeight="1" spans="1:11">
      <c r="A7" s="11" t="s">
        <v>5</v>
      </c>
      <c r="B7" s="12" t="s">
        <v>5</v>
      </c>
      <c r="C7" s="12" t="s">
        <v>5</v>
      </c>
      <c r="D7" s="12" t="s">
        <v>5</v>
      </c>
      <c r="E7" s="12" t="s">
        <v>5</v>
      </c>
      <c r="F7" s="12" t="s">
        <v>5</v>
      </c>
      <c r="G7" s="12" t="s">
        <v>5</v>
      </c>
    </row>
    <row r="8" s="3" customFormat="1" ht="20" customHeight="1" spans="1:11">
      <c r="A8" s="11" t="s">
        <v>10</v>
      </c>
      <c r="B8" s="12" t="s">
        <v>128</v>
      </c>
      <c r="C8" s="12" t="s">
        <v>129</v>
      </c>
      <c r="D8" s="12" t="s">
        <v>10</v>
      </c>
      <c r="E8" s="13" t="s">
        <v>11</v>
      </c>
      <c r="F8" s="13" t="s">
        <v>12</v>
      </c>
      <c r="G8" s="13" t="s">
        <v>20</v>
      </c>
    </row>
    <row r="9" s="3" customFormat="1" ht="20" customHeight="1" spans="1:11">
      <c r="A9" s="11" t="s">
        <v>130</v>
      </c>
      <c r="B9" s="12" t="s">
        <v>5</v>
      </c>
      <c r="C9" s="12" t="s">
        <v>5</v>
      </c>
      <c r="D9" s="12" t="s">
        <v>130</v>
      </c>
      <c r="E9" s="26">
        <f>F9+G9</f>
        <v>6657.279936</v>
      </c>
      <c r="F9" s="26">
        <f>F13+F20+F24+F30+F33+F10</f>
        <v>5049.273956</v>
      </c>
      <c r="G9" s="26">
        <f>G13+G20+G24+G30+G33+G10</f>
        <v>1608.00598</v>
      </c>
    </row>
    <row r="10" s="3" customFormat="1" ht="20" customHeight="1" spans="1:11">
      <c r="A10" s="53">
        <v>205</v>
      </c>
      <c r="B10" s="54"/>
      <c r="C10" s="55"/>
      <c r="D10" s="27" t="s">
        <v>159</v>
      </c>
      <c r="E10" s="26">
        <f t="shared" ref="E10:E17" si="0">F10+G10</f>
        <v>183.61</v>
      </c>
      <c r="F10" s="28">
        <f>F11</f>
        <v>183.61</v>
      </c>
      <c r="G10" s="56">
        <f>G11</f>
        <v>0</v>
      </c>
    </row>
    <row r="11" s="2" customFormat="1" ht="20" customHeight="1" spans="1:11">
      <c r="A11" s="57">
        <v>20502</v>
      </c>
      <c r="B11" s="58"/>
      <c r="C11" s="59"/>
      <c r="D11" s="29" t="s">
        <v>160</v>
      </c>
      <c r="E11" s="30">
        <f t="shared" si="0"/>
        <v>183.61</v>
      </c>
      <c r="F11" s="31">
        <f>F12</f>
        <v>183.61</v>
      </c>
      <c r="G11" s="60">
        <f>G12</f>
        <v>0</v>
      </c>
    </row>
    <row r="12" s="2" customFormat="1" ht="20" customHeight="1" spans="1:11">
      <c r="A12" s="57">
        <v>2050299</v>
      </c>
      <c r="B12" s="58"/>
      <c r="C12" s="59"/>
      <c r="D12" s="29" t="s">
        <v>161</v>
      </c>
      <c r="E12" s="30">
        <f t="shared" si="0"/>
        <v>183.61</v>
      </c>
      <c r="F12" s="31">
        <f>1836100/10000</f>
        <v>183.61</v>
      </c>
      <c r="G12" s="31">
        <f>0/10000</f>
        <v>0</v>
      </c>
    </row>
    <row r="13" s="3" customFormat="1" ht="20" customHeight="1" spans="1:11">
      <c r="A13" s="27">
        <v>208</v>
      </c>
      <c r="B13" s="27"/>
      <c r="C13" s="27"/>
      <c r="D13" s="27" t="s">
        <v>132</v>
      </c>
      <c r="E13" s="26">
        <f t="shared" si="0"/>
        <v>373.851386</v>
      </c>
      <c r="F13" s="56">
        <f>F14+F16+F18</f>
        <v>373.851386</v>
      </c>
      <c r="G13" s="56">
        <f>G14+G16+G18</f>
        <v>0</v>
      </c>
    </row>
    <row r="14" s="2" customFormat="1" ht="20" customHeight="1" spans="1:11">
      <c r="A14" s="29" t="s">
        <v>133</v>
      </c>
      <c r="B14" s="29"/>
      <c r="C14" s="29"/>
      <c r="D14" s="29" t="s">
        <v>134</v>
      </c>
      <c r="E14" s="30">
        <f t="shared" si="0"/>
        <v>335.25721</v>
      </c>
      <c r="F14" s="31">
        <f>F15</f>
        <v>335.25721</v>
      </c>
      <c r="G14" s="60">
        <f>G15</f>
        <v>0</v>
      </c>
    </row>
    <row r="15" s="2" customFormat="1" ht="20" customHeight="1" spans="1:11">
      <c r="A15" s="29" t="s">
        <v>135</v>
      </c>
      <c r="B15" s="29"/>
      <c r="C15" s="29"/>
      <c r="D15" s="29" t="s">
        <v>136</v>
      </c>
      <c r="E15" s="30">
        <f t="shared" si="0"/>
        <v>335.25721</v>
      </c>
      <c r="F15" s="31">
        <f>3352572.1/10000</f>
        <v>335.25721</v>
      </c>
      <c r="G15" s="60">
        <v>0</v>
      </c>
    </row>
    <row r="16" s="2" customFormat="1" ht="20" customHeight="1" spans="1:11">
      <c r="A16" s="29" t="s">
        <v>137</v>
      </c>
      <c r="B16" s="29"/>
      <c r="C16" s="29"/>
      <c r="D16" s="29" t="s">
        <v>138</v>
      </c>
      <c r="E16" s="30">
        <f t="shared" si="0"/>
        <v>17.6406</v>
      </c>
      <c r="F16" s="31">
        <f>F17</f>
        <v>17.6406</v>
      </c>
      <c r="G16" s="60">
        <f>G17</f>
        <v>0</v>
      </c>
    </row>
    <row r="17" s="2" customFormat="1" ht="20" customHeight="1" spans="1:15">
      <c r="A17" s="29" t="s">
        <v>139</v>
      </c>
      <c r="B17" s="29"/>
      <c r="C17" s="29"/>
      <c r="D17" s="29" t="s">
        <v>140</v>
      </c>
      <c r="E17" s="30">
        <f t="shared" si="0"/>
        <v>17.6406</v>
      </c>
      <c r="F17" s="31">
        <f>176406/10000</f>
        <v>17.6406</v>
      </c>
      <c r="G17" s="60">
        <v>0</v>
      </c>
      <c r="O17" s="2" t="s">
        <v>233</v>
      </c>
    </row>
    <row r="18" s="2" customFormat="1" ht="20" customHeight="1" spans="1:15">
      <c r="A18" s="29" t="s">
        <v>141</v>
      </c>
      <c r="B18" s="29"/>
      <c r="C18" s="29"/>
      <c r="D18" s="29" t="s">
        <v>142</v>
      </c>
      <c r="E18" s="30">
        <f t="shared" ref="E18:E23" si="1">F18+G18</f>
        <v>20.953576</v>
      </c>
      <c r="F18" s="31">
        <f>F19</f>
        <v>20.953576</v>
      </c>
      <c r="G18" s="60">
        <f>G19</f>
        <v>0</v>
      </c>
    </row>
    <row r="19" s="2" customFormat="1" ht="20" customHeight="1" spans="1:15">
      <c r="A19" s="29" t="s">
        <v>143</v>
      </c>
      <c r="B19" s="29"/>
      <c r="C19" s="29"/>
      <c r="D19" s="29" t="s">
        <v>142</v>
      </c>
      <c r="E19" s="30">
        <f t="shared" si="1"/>
        <v>20.953576</v>
      </c>
      <c r="F19" s="31">
        <f>209535.76/10000</f>
        <v>20.953576</v>
      </c>
      <c r="G19" s="60">
        <v>0</v>
      </c>
    </row>
    <row r="20" s="3" customFormat="1" ht="20" customHeight="1" spans="1:15">
      <c r="A20" s="27" t="s">
        <v>144</v>
      </c>
      <c r="B20" s="27"/>
      <c r="C20" s="27"/>
      <c r="D20" s="27" t="s">
        <v>145</v>
      </c>
      <c r="E20" s="26">
        <f t="shared" si="1"/>
        <v>199.058969</v>
      </c>
      <c r="F20" s="56">
        <f>F21</f>
        <v>199.058969</v>
      </c>
      <c r="G20" s="56">
        <f>G21</f>
        <v>0</v>
      </c>
    </row>
    <row r="21" s="2" customFormat="1" ht="20" customHeight="1" spans="1:15">
      <c r="A21" s="29" t="s">
        <v>146</v>
      </c>
      <c r="B21" s="29"/>
      <c r="C21" s="29"/>
      <c r="D21" s="29" t="s">
        <v>147</v>
      </c>
      <c r="E21" s="30">
        <f t="shared" si="1"/>
        <v>199.058969</v>
      </c>
      <c r="F21" s="60">
        <f>F22+F23</f>
        <v>199.058969</v>
      </c>
      <c r="G21" s="60">
        <f>G22</f>
        <v>0</v>
      </c>
    </row>
    <row r="22" s="2" customFormat="1" ht="20" customHeight="1" spans="1:15">
      <c r="A22" s="29" t="s">
        <v>148</v>
      </c>
      <c r="B22" s="29"/>
      <c r="C22" s="29"/>
      <c r="D22" s="29" t="s">
        <v>149</v>
      </c>
      <c r="E22" s="30">
        <f t="shared" si="1"/>
        <v>178.105393</v>
      </c>
      <c r="F22" s="31">
        <f>1781053.93/10000</f>
        <v>178.105393</v>
      </c>
      <c r="G22" s="60">
        <v>0</v>
      </c>
    </row>
    <row r="23" s="3" customFormat="1" ht="20" customHeight="1" spans="1:15">
      <c r="A23" s="57">
        <v>2101103</v>
      </c>
      <c r="B23" s="58"/>
      <c r="C23" s="59"/>
      <c r="D23" s="29" t="s">
        <v>150</v>
      </c>
      <c r="E23" s="30">
        <f t="shared" si="1"/>
        <v>20.953576</v>
      </c>
      <c r="F23" s="31">
        <f>209535.76/10000</f>
        <v>20.953576</v>
      </c>
      <c r="G23" s="60">
        <v>0</v>
      </c>
    </row>
    <row r="24" s="3" customFormat="1" ht="20" customHeight="1" spans="1:15">
      <c r="A24" s="27" t="s">
        <v>162</v>
      </c>
      <c r="B24" s="27"/>
      <c r="C24" s="27"/>
      <c r="D24" s="27" t="s">
        <v>163</v>
      </c>
      <c r="E24" s="26">
        <f t="shared" ref="E24:E35" si="2">F24+G24</f>
        <v>5522.316674</v>
      </c>
      <c r="F24" s="56">
        <f>F25</f>
        <v>4041.310694</v>
      </c>
      <c r="G24" s="56">
        <f>G25</f>
        <v>1481.00598</v>
      </c>
    </row>
    <row r="25" s="2" customFormat="1" ht="20" customHeight="1" spans="1:15">
      <c r="A25" s="29" t="s">
        <v>164</v>
      </c>
      <c r="B25" s="29"/>
      <c r="C25" s="29"/>
      <c r="D25" s="29" t="s">
        <v>165</v>
      </c>
      <c r="E25" s="30">
        <f t="shared" si="2"/>
        <v>5522.316674</v>
      </c>
      <c r="F25" s="60">
        <f>SUM(F26:F29)</f>
        <v>4041.310694</v>
      </c>
      <c r="G25" s="60">
        <f>SUM(G26:G29)</f>
        <v>1481.00598</v>
      </c>
    </row>
    <row r="26" s="2" customFormat="1" ht="20" customHeight="1" spans="1:15">
      <c r="A26" s="29" t="s">
        <v>166</v>
      </c>
      <c r="B26" s="29"/>
      <c r="C26" s="29"/>
      <c r="D26" s="29" t="s">
        <v>167</v>
      </c>
      <c r="E26" s="30">
        <f t="shared" si="2"/>
        <v>3114.090804</v>
      </c>
      <c r="F26" s="31">
        <f>31140908.04/10000</f>
        <v>3114.090804</v>
      </c>
      <c r="G26" s="60">
        <v>0</v>
      </c>
    </row>
    <row r="27" s="2" customFormat="1" ht="20" customHeight="1" spans="1:15">
      <c r="A27" s="29" t="s">
        <v>168</v>
      </c>
      <c r="B27" s="29"/>
      <c r="C27" s="29"/>
      <c r="D27" s="29" t="s">
        <v>169</v>
      </c>
      <c r="E27" s="30">
        <f t="shared" si="2"/>
        <v>357</v>
      </c>
      <c r="F27" s="31">
        <f>2000/10000</f>
        <v>0.2</v>
      </c>
      <c r="G27" s="60">
        <f>3568000/10000</f>
        <v>356.8</v>
      </c>
    </row>
    <row r="28" s="2" customFormat="1" ht="20" customHeight="1" spans="1:15">
      <c r="A28" s="29" t="s">
        <v>170</v>
      </c>
      <c r="B28" s="29"/>
      <c r="C28" s="29"/>
      <c r="D28" s="29" t="s">
        <v>171</v>
      </c>
      <c r="E28" s="30">
        <f t="shared" si="2"/>
        <v>159.5861</v>
      </c>
      <c r="F28" s="31">
        <v>0</v>
      </c>
      <c r="G28" s="60">
        <f>1595861/10000</f>
        <v>159.5861</v>
      </c>
    </row>
    <row r="29" s="2" customFormat="1" ht="20" customHeight="1" spans="1:15">
      <c r="A29" s="29" t="s">
        <v>172</v>
      </c>
      <c r="B29" s="29"/>
      <c r="C29" s="29"/>
      <c r="D29" s="29" t="s">
        <v>173</v>
      </c>
      <c r="E29" s="30">
        <f t="shared" si="2"/>
        <v>1891.63977</v>
      </c>
      <c r="F29" s="31">
        <f>9270198.9/10000</f>
        <v>927.01989</v>
      </c>
      <c r="G29" s="60">
        <f>9646198.8/10000</f>
        <v>964.61988</v>
      </c>
    </row>
    <row r="30" s="3" customFormat="1" ht="20" customHeight="1" spans="1:15">
      <c r="A30" s="27" t="s">
        <v>174</v>
      </c>
      <c r="B30" s="27"/>
      <c r="C30" s="27"/>
      <c r="D30" s="27" t="s">
        <v>175</v>
      </c>
      <c r="E30" s="26">
        <f t="shared" si="2"/>
        <v>251.442907</v>
      </c>
      <c r="F30" s="56">
        <f>F31</f>
        <v>251.442907</v>
      </c>
      <c r="G30" s="56">
        <f>G31</f>
        <v>0</v>
      </c>
    </row>
    <row r="31" s="2" customFormat="1" ht="20" customHeight="1" spans="1:15">
      <c r="A31" s="29" t="s">
        <v>176</v>
      </c>
      <c r="B31" s="29"/>
      <c r="C31" s="29"/>
      <c r="D31" s="29" t="s">
        <v>177</v>
      </c>
      <c r="E31" s="30">
        <f t="shared" si="2"/>
        <v>251.442907</v>
      </c>
      <c r="F31" s="60">
        <f>F32</f>
        <v>251.442907</v>
      </c>
      <c r="G31" s="60">
        <f>G32</f>
        <v>0</v>
      </c>
    </row>
    <row r="32" s="2" customFormat="1" ht="20" customHeight="1" spans="1:15">
      <c r="A32" s="29" t="s">
        <v>178</v>
      </c>
      <c r="B32" s="29"/>
      <c r="C32" s="29"/>
      <c r="D32" s="29" t="s">
        <v>179</v>
      </c>
      <c r="E32" s="30">
        <f t="shared" si="2"/>
        <v>251.442907</v>
      </c>
      <c r="F32" s="31">
        <f>2514429.07/10000</f>
        <v>251.442907</v>
      </c>
      <c r="G32" s="60">
        <v>0</v>
      </c>
    </row>
    <row r="33" s="3" customFormat="1" ht="20" customHeight="1" spans="1:7">
      <c r="A33" s="27" t="s">
        <v>185</v>
      </c>
      <c r="B33" s="27"/>
      <c r="C33" s="27"/>
      <c r="D33" s="27" t="s">
        <v>186</v>
      </c>
      <c r="E33" s="26">
        <f t="shared" si="2"/>
        <v>127</v>
      </c>
      <c r="F33" s="56">
        <f>F34</f>
        <v>0</v>
      </c>
      <c r="G33" s="56">
        <f>G34</f>
        <v>127</v>
      </c>
    </row>
    <row r="34" s="2" customFormat="1" ht="20" customHeight="1" spans="1:7">
      <c r="A34" s="29" t="s">
        <v>187</v>
      </c>
      <c r="B34" s="29"/>
      <c r="C34" s="29"/>
      <c r="D34" s="29" t="s">
        <v>188</v>
      </c>
      <c r="E34" s="30">
        <f t="shared" si="2"/>
        <v>127</v>
      </c>
      <c r="F34" s="60">
        <f>F35</f>
        <v>0</v>
      </c>
      <c r="G34" s="60">
        <f>G35</f>
        <v>127</v>
      </c>
    </row>
    <row r="35" s="2" customFormat="1" ht="20" customHeight="1" spans="1:7">
      <c r="A35" s="61" t="s">
        <v>189</v>
      </c>
      <c r="B35" s="61"/>
      <c r="C35" s="61"/>
      <c r="D35" s="61" t="s">
        <v>190</v>
      </c>
      <c r="E35" s="30">
        <f t="shared" si="2"/>
        <v>127</v>
      </c>
      <c r="F35" s="62">
        <v>0</v>
      </c>
      <c r="G35" s="63">
        <f>1270000/10000</f>
        <v>127</v>
      </c>
    </row>
    <row r="36" s="2" customFormat="1" ht="20" customHeight="1" spans="1:7">
      <c r="A36" s="39" t="s">
        <v>234</v>
      </c>
      <c r="B36" s="39" t="s">
        <v>5</v>
      </c>
      <c r="C36" s="39" t="s">
        <v>5</v>
      </c>
      <c r="D36" s="39" t="s">
        <v>5</v>
      </c>
      <c r="E36" s="39" t="s">
        <v>5</v>
      </c>
      <c r="F36" s="39" t="s">
        <v>5</v>
      </c>
      <c r="G36" s="39" t="s">
        <v>5</v>
      </c>
    </row>
    <row r="38" spans="1:7">
      <c r="E38" s="42" t="s">
        <v>235</v>
      </c>
    </row>
  </sheetData>
  <mergeCells count="70">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G36"/>
    <mergeCell ref="A36:G36"/>
    <mergeCell ref="A36:G36"/>
    <mergeCell ref="A36:G36"/>
    <mergeCell ref="A36:G36"/>
    <mergeCell ref="A36:G36"/>
    <mergeCell ref="A36:G36"/>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zoomScaleSheetLayoutView="60" workbookViewId="0">
      <pane xSplit="2" ySplit="6" topLeftCell="C31" activePane="bottomRight" state="frozen"/>
      <selection/>
      <selection pane="topRight"/>
      <selection pane="bottomLeft"/>
      <selection pane="bottomRight" activeCell="K8" sqref="K8"/>
    </sheetView>
  </sheetViews>
  <sheetFormatPr defaultColWidth="8.88571428571429" defaultRowHeight="12.75"/>
  <cols>
    <col min="1" max="1" width="9.28571428571429" style="5" customWidth="1"/>
    <col min="2" max="2" width="24.2857142857143" style="5" customWidth="1"/>
    <col min="3" max="3" width="16.2857142857143" style="5" customWidth="1"/>
    <col min="4" max="4" width="15.5714285714286" style="5" customWidth="1"/>
    <col min="5" max="5" width="17.8571428571429" style="5" customWidth="1"/>
    <col min="6" max="6" width="13.5714285714286" style="5" customWidth="1"/>
    <col min="7" max="7" width="8.28571428571429" style="5" customWidth="1"/>
    <col min="8" max="8" width="27.1428571428571" style="5" customWidth="1"/>
    <col min="9" max="9" width="17.1333333333333" style="5" customWidth="1"/>
    <col min="10" max="10" width="9.76190476190476" style="5"/>
    <col min="11" max="16384" width="8.88571428571429" style="5"/>
  </cols>
  <sheetData>
    <row r="1" s="1" customFormat="1" ht="23" customHeight="1" spans="1:9">
      <c r="A1" s="6" t="s">
        <v>236</v>
      </c>
      <c r="B1" s="7"/>
      <c r="C1" s="7"/>
      <c r="D1" s="7"/>
      <c r="E1" s="6" t="s">
        <v>236</v>
      </c>
      <c r="F1" s="7"/>
      <c r="G1" s="7"/>
      <c r="H1" s="7"/>
      <c r="I1" s="7"/>
    </row>
    <row r="2" s="2" customFormat="1" ht="20" customHeight="1" spans="1:9">
      <c r="I2" s="8" t="s">
        <v>237</v>
      </c>
    </row>
    <row r="3" s="2" customFormat="1" ht="20" customHeight="1" spans="1:9">
      <c r="A3" s="2" t="str">
        <f>一般公共预算财政拨款支出决算表!A3</f>
        <v>部门：岳阳县自然资源局</v>
      </c>
      <c r="I3" s="8" t="s">
        <v>3</v>
      </c>
    </row>
    <row r="4" s="3" customFormat="1" ht="20" customHeight="1" spans="1:9">
      <c r="A4" s="9" t="s">
        <v>238</v>
      </c>
      <c r="B4" s="10" t="s">
        <v>5</v>
      </c>
      <c r="C4" s="10" t="s">
        <v>5</v>
      </c>
      <c r="D4" s="10" t="s">
        <v>239</v>
      </c>
      <c r="E4" s="10" t="s">
        <v>5</v>
      </c>
      <c r="F4" s="10" t="s">
        <v>5</v>
      </c>
      <c r="G4" s="10" t="s">
        <v>5</v>
      </c>
      <c r="H4" s="10" t="s">
        <v>5</v>
      </c>
      <c r="I4" s="10" t="s">
        <v>5</v>
      </c>
    </row>
    <row r="5" s="3" customFormat="1" ht="20" customHeight="1" spans="1:9">
      <c r="A5" s="11" t="s">
        <v>240</v>
      </c>
      <c r="B5" s="12" t="s">
        <v>119</v>
      </c>
      <c r="C5" s="12" t="s">
        <v>241</v>
      </c>
      <c r="D5" s="12" t="s">
        <v>240</v>
      </c>
      <c r="E5" s="12" t="s">
        <v>119</v>
      </c>
      <c r="F5" s="12" t="s">
        <v>241</v>
      </c>
      <c r="G5" s="12" t="s">
        <v>240</v>
      </c>
      <c r="H5" s="12" t="s">
        <v>119</v>
      </c>
      <c r="I5" s="12" t="s">
        <v>241</v>
      </c>
    </row>
    <row r="6" s="3" customFormat="1" ht="20" customHeight="1" spans="1:9">
      <c r="A6" s="11" t="s">
        <v>5</v>
      </c>
      <c r="B6" s="12" t="s">
        <v>5</v>
      </c>
      <c r="C6" s="12" t="s">
        <v>5</v>
      </c>
      <c r="D6" s="12" t="s">
        <v>5</v>
      </c>
      <c r="E6" s="12" t="s">
        <v>5</v>
      </c>
      <c r="F6" s="12" t="s">
        <v>5</v>
      </c>
      <c r="G6" s="12" t="s">
        <v>5</v>
      </c>
      <c r="H6" s="12" t="s">
        <v>5</v>
      </c>
      <c r="I6" s="12" t="s">
        <v>5</v>
      </c>
    </row>
    <row r="7" s="2" customFormat="1" ht="20" customHeight="1" spans="1:9">
      <c r="A7" s="49" t="s">
        <v>242</v>
      </c>
      <c r="B7" s="50" t="s">
        <v>243</v>
      </c>
      <c r="C7" s="51">
        <f>SUM(C8:C20)</f>
        <v>3980.603476</v>
      </c>
      <c r="D7" s="50" t="s">
        <v>244</v>
      </c>
      <c r="E7" s="50" t="s">
        <v>245</v>
      </c>
      <c r="F7" s="51">
        <f>SUM(F8:F34)</f>
        <v>955.04578</v>
      </c>
      <c r="G7" s="37" t="s">
        <v>246</v>
      </c>
      <c r="H7" s="50" t="s">
        <v>247</v>
      </c>
      <c r="I7" s="51" t="s">
        <v>5</v>
      </c>
    </row>
    <row r="8" s="2" customFormat="1" ht="20" customHeight="1" spans="1:9">
      <c r="A8" s="36" t="s">
        <v>248</v>
      </c>
      <c r="B8" s="37" t="s">
        <v>249</v>
      </c>
      <c r="C8" s="38">
        <f>16501761.82/10000</f>
        <v>1650.176182</v>
      </c>
      <c r="D8" s="37" t="s">
        <v>250</v>
      </c>
      <c r="E8" s="37" t="s">
        <v>251</v>
      </c>
      <c r="F8" s="38">
        <f>1183375.21/10000</f>
        <v>118.337521</v>
      </c>
      <c r="G8" s="37" t="s">
        <v>252</v>
      </c>
      <c r="H8" s="37" t="s">
        <v>253</v>
      </c>
      <c r="I8" s="38" t="s">
        <v>5</v>
      </c>
    </row>
    <row r="9" s="2" customFormat="1" ht="20" customHeight="1" spans="1:9">
      <c r="A9" s="36" t="s">
        <v>254</v>
      </c>
      <c r="B9" s="37" t="s">
        <v>255</v>
      </c>
      <c r="C9" s="38">
        <f>10643256.85/10000</f>
        <v>1064.325685</v>
      </c>
      <c r="D9" s="37" t="s">
        <v>256</v>
      </c>
      <c r="E9" s="37" t="s">
        <v>257</v>
      </c>
      <c r="F9" s="38">
        <f>379130.2/10000</f>
        <v>37.91302</v>
      </c>
      <c r="G9" s="37" t="s">
        <v>258</v>
      </c>
      <c r="H9" s="37" t="s">
        <v>259</v>
      </c>
      <c r="I9" s="38" t="s">
        <v>5</v>
      </c>
    </row>
    <row r="10" s="2" customFormat="1" ht="20" customHeight="1" spans="1:9">
      <c r="A10" s="36" t="s">
        <v>260</v>
      </c>
      <c r="B10" s="37" t="s">
        <v>261</v>
      </c>
      <c r="C10" s="38">
        <f>630906.48/10000</f>
        <v>63.090648</v>
      </c>
      <c r="D10" s="37" t="s">
        <v>262</v>
      </c>
      <c r="E10" s="37" t="s">
        <v>263</v>
      </c>
      <c r="F10" s="38">
        <v>0</v>
      </c>
      <c r="G10" s="37" t="s">
        <v>264</v>
      </c>
      <c r="H10" s="50" t="s">
        <v>265</v>
      </c>
      <c r="I10" s="51">
        <f>SUM(I11:I26)</f>
        <v>17.1329</v>
      </c>
    </row>
    <row r="11" s="2" customFormat="1" ht="20" customHeight="1" spans="1:9">
      <c r="A11" s="36" t="s">
        <v>266</v>
      </c>
      <c r="B11" s="37" t="s">
        <v>267</v>
      </c>
      <c r="C11" s="38">
        <f>100800/10000</f>
        <v>10.08</v>
      </c>
      <c r="D11" s="37" t="s">
        <v>268</v>
      </c>
      <c r="E11" s="37" t="s">
        <v>269</v>
      </c>
      <c r="F11" s="38">
        <v>0</v>
      </c>
      <c r="G11" s="37" t="s">
        <v>270</v>
      </c>
      <c r="H11" s="37" t="s">
        <v>271</v>
      </c>
      <c r="I11" s="38" t="s">
        <v>5</v>
      </c>
    </row>
    <row r="12" s="2" customFormat="1" ht="20" customHeight="1" spans="1:9">
      <c r="A12" s="36" t="s">
        <v>272</v>
      </c>
      <c r="B12" s="37" t="s">
        <v>273</v>
      </c>
      <c r="C12" s="38">
        <f>1817885.91/10000</f>
        <v>181.788591</v>
      </c>
      <c r="D12" s="37" t="s">
        <v>274</v>
      </c>
      <c r="E12" s="37" t="s">
        <v>275</v>
      </c>
      <c r="F12" s="38">
        <f>40067.96/10000</f>
        <v>4.006796</v>
      </c>
      <c r="G12" s="37" t="s">
        <v>276</v>
      </c>
      <c r="H12" s="37" t="s">
        <v>277</v>
      </c>
      <c r="I12" s="38">
        <f>171329/10000</f>
        <v>17.1329</v>
      </c>
    </row>
    <row r="13" s="2" customFormat="1" ht="20" customHeight="1" spans="1:9">
      <c r="A13" s="36" t="s">
        <v>278</v>
      </c>
      <c r="B13" s="37" t="s">
        <v>279</v>
      </c>
      <c r="C13" s="38">
        <f>3985763.41/10000</f>
        <v>398.576341</v>
      </c>
      <c r="D13" s="37" t="s">
        <v>280</v>
      </c>
      <c r="E13" s="37" t="s">
        <v>281</v>
      </c>
      <c r="F13" s="38">
        <f>224321.26/10000</f>
        <v>22.432126</v>
      </c>
      <c r="G13" s="37" t="s">
        <v>282</v>
      </c>
      <c r="H13" s="37" t="s">
        <v>283</v>
      </c>
      <c r="I13" s="38">
        <v>0</v>
      </c>
    </row>
    <row r="14" s="2" customFormat="1" ht="20" customHeight="1" spans="1:9">
      <c r="A14" s="36" t="s">
        <v>284</v>
      </c>
      <c r="B14" s="37" t="s">
        <v>285</v>
      </c>
      <c r="C14" s="38">
        <f>212244.4/10000</f>
        <v>21.22444</v>
      </c>
      <c r="D14" s="37" t="s">
        <v>286</v>
      </c>
      <c r="E14" s="37" t="s">
        <v>287</v>
      </c>
      <c r="F14" s="38">
        <f>61611/10000</f>
        <v>6.1611</v>
      </c>
      <c r="G14" s="37" t="s">
        <v>288</v>
      </c>
      <c r="H14" s="37" t="s">
        <v>289</v>
      </c>
      <c r="I14" s="38" t="s">
        <v>5</v>
      </c>
    </row>
    <row r="15" s="2" customFormat="1" ht="20" customHeight="1" spans="1:9">
      <c r="A15" s="36" t="s">
        <v>290</v>
      </c>
      <c r="B15" s="37" t="s">
        <v>291</v>
      </c>
      <c r="C15" s="38">
        <f>2048747.95/10000</f>
        <v>204.874795</v>
      </c>
      <c r="D15" s="37" t="s">
        <v>292</v>
      </c>
      <c r="E15" s="37" t="s">
        <v>293</v>
      </c>
      <c r="F15" s="38">
        <v>0</v>
      </c>
      <c r="G15" s="37" t="s">
        <v>294</v>
      </c>
      <c r="H15" s="37" t="s">
        <v>295</v>
      </c>
      <c r="I15" s="38" t="s">
        <v>5</v>
      </c>
    </row>
    <row r="16" s="2" customFormat="1" ht="20" customHeight="1" spans="1:9">
      <c r="A16" s="36" t="s">
        <v>296</v>
      </c>
      <c r="B16" s="37" t="s">
        <v>297</v>
      </c>
      <c r="C16" s="38">
        <f>276073.66/10000</f>
        <v>27.607366</v>
      </c>
      <c r="D16" s="37" t="s">
        <v>298</v>
      </c>
      <c r="E16" s="37" t="s">
        <v>299</v>
      </c>
      <c r="F16" s="38">
        <f>1911049/10000</f>
        <v>191.1049</v>
      </c>
      <c r="G16" s="37" t="s">
        <v>300</v>
      </c>
      <c r="H16" s="37" t="s">
        <v>301</v>
      </c>
      <c r="I16" s="38" t="s">
        <v>5</v>
      </c>
    </row>
    <row r="17" s="2" customFormat="1" ht="20" customHeight="1" spans="1:9">
      <c r="A17" s="36" t="s">
        <v>302</v>
      </c>
      <c r="B17" s="37" t="s">
        <v>303</v>
      </c>
      <c r="C17" s="38">
        <f>124757.43/10000</f>
        <v>12.475743</v>
      </c>
      <c r="D17" s="37" t="s">
        <v>304</v>
      </c>
      <c r="E17" s="37" t="s">
        <v>305</v>
      </c>
      <c r="F17" s="38">
        <f>407557.5/10000</f>
        <v>40.75575</v>
      </c>
      <c r="G17" s="37" t="s">
        <v>306</v>
      </c>
      <c r="H17" s="37" t="s">
        <v>307</v>
      </c>
      <c r="I17" s="38" t="s">
        <v>5</v>
      </c>
    </row>
    <row r="18" s="2" customFormat="1" ht="20" customHeight="1" spans="1:9">
      <c r="A18" s="36" t="s">
        <v>308</v>
      </c>
      <c r="B18" s="37" t="s">
        <v>309</v>
      </c>
      <c r="C18" s="38">
        <f>3226691.68/10000</f>
        <v>322.669168</v>
      </c>
      <c r="D18" s="37" t="s">
        <v>310</v>
      </c>
      <c r="E18" s="37" t="s">
        <v>311</v>
      </c>
      <c r="F18" s="38">
        <v>0</v>
      </c>
      <c r="G18" s="37" t="s">
        <v>312</v>
      </c>
      <c r="H18" s="37" t="s">
        <v>313</v>
      </c>
      <c r="I18" s="38" t="s">
        <v>5</v>
      </c>
    </row>
    <row r="19" s="2" customFormat="1" ht="20" customHeight="1" spans="1:9">
      <c r="A19" s="36" t="s">
        <v>314</v>
      </c>
      <c r="B19" s="37" t="s">
        <v>315</v>
      </c>
      <c r="C19" s="38">
        <f>165545.17/10000</f>
        <v>16.554517</v>
      </c>
      <c r="D19" s="37" t="s">
        <v>316</v>
      </c>
      <c r="E19" s="37" t="s">
        <v>317</v>
      </c>
      <c r="F19" s="38">
        <f>363770.11/10000</f>
        <v>36.377011</v>
      </c>
      <c r="G19" s="37" t="s">
        <v>318</v>
      </c>
      <c r="H19" s="37" t="s">
        <v>319</v>
      </c>
      <c r="I19" s="38" t="s">
        <v>5</v>
      </c>
    </row>
    <row r="20" s="2" customFormat="1" ht="20" customHeight="1" spans="1:9">
      <c r="A20" s="36" t="s">
        <v>320</v>
      </c>
      <c r="B20" s="37" t="s">
        <v>321</v>
      </c>
      <c r="C20" s="38">
        <f>71600/10000</f>
        <v>7.16</v>
      </c>
      <c r="D20" s="37" t="s">
        <v>322</v>
      </c>
      <c r="E20" s="37" t="s">
        <v>323</v>
      </c>
      <c r="F20" s="38">
        <f>86000/10000</f>
        <v>8.6</v>
      </c>
      <c r="G20" s="37" t="s">
        <v>324</v>
      </c>
      <c r="H20" s="37" t="s">
        <v>325</v>
      </c>
      <c r="I20" s="38" t="s">
        <v>5</v>
      </c>
    </row>
    <row r="21" s="2" customFormat="1" ht="20" customHeight="1" spans="1:9">
      <c r="A21" s="49" t="s">
        <v>326</v>
      </c>
      <c r="B21" s="50" t="s">
        <v>327</v>
      </c>
      <c r="C21" s="51">
        <f>SUM(C22:C33)</f>
        <v>96.4918</v>
      </c>
      <c r="D21" s="37" t="s">
        <v>328</v>
      </c>
      <c r="E21" s="37" t="s">
        <v>329</v>
      </c>
      <c r="F21" s="38">
        <f>18882/10000</f>
        <v>1.8882</v>
      </c>
      <c r="G21" s="37" t="s">
        <v>330</v>
      </c>
      <c r="H21" s="37" t="s">
        <v>331</v>
      </c>
      <c r="I21" s="38" t="s">
        <v>5</v>
      </c>
    </row>
    <row r="22" s="2" customFormat="1" ht="20" customHeight="1" spans="1:9">
      <c r="A22" s="36" t="s">
        <v>332</v>
      </c>
      <c r="B22" s="37" t="s">
        <v>333</v>
      </c>
      <c r="C22" s="38">
        <v>0</v>
      </c>
      <c r="D22" s="37" t="s">
        <v>334</v>
      </c>
      <c r="E22" s="37" t="s">
        <v>335</v>
      </c>
      <c r="F22" s="38">
        <f>52914/10000</f>
        <v>5.2914</v>
      </c>
      <c r="G22" s="37" t="s">
        <v>336</v>
      </c>
      <c r="H22" s="37" t="s">
        <v>337</v>
      </c>
      <c r="I22" s="38" t="s">
        <v>5</v>
      </c>
    </row>
    <row r="23" s="2" customFormat="1" ht="20" customHeight="1" spans="1:9">
      <c r="A23" s="36" t="s">
        <v>338</v>
      </c>
      <c r="B23" s="37" t="s">
        <v>339</v>
      </c>
      <c r="C23" s="38">
        <f>755392/10000</f>
        <v>75.5392</v>
      </c>
      <c r="D23" s="37" t="s">
        <v>340</v>
      </c>
      <c r="E23" s="37" t="s">
        <v>341</v>
      </c>
      <c r="F23" s="38">
        <f>140358/10000</f>
        <v>14.0358</v>
      </c>
      <c r="G23" s="37" t="s">
        <v>342</v>
      </c>
      <c r="H23" s="37" t="s">
        <v>343</v>
      </c>
      <c r="I23" s="38" t="s">
        <v>5</v>
      </c>
    </row>
    <row r="24" s="2" customFormat="1" ht="20" customHeight="1" spans="1:9">
      <c r="A24" s="36" t="s">
        <v>344</v>
      </c>
      <c r="B24" s="37" t="s">
        <v>345</v>
      </c>
      <c r="C24" s="38">
        <v>0</v>
      </c>
      <c r="D24" s="37" t="s">
        <v>346</v>
      </c>
      <c r="E24" s="37" t="s">
        <v>347</v>
      </c>
      <c r="F24" s="38">
        <v>0</v>
      </c>
      <c r="G24" s="37" t="s">
        <v>348</v>
      </c>
      <c r="H24" s="37" t="s">
        <v>349</v>
      </c>
      <c r="I24" s="38" t="s">
        <v>5</v>
      </c>
    </row>
    <row r="25" s="2" customFormat="1" ht="20" customHeight="1" spans="1:9">
      <c r="A25" s="36" t="s">
        <v>350</v>
      </c>
      <c r="B25" s="37" t="s">
        <v>351</v>
      </c>
      <c r="C25" s="38">
        <f>209526/10000</f>
        <v>20.9526</v>
      </c>
      <c r="D25" s="37" t="s">
        <v>352</v>
      </c>
      <c r="E25" s="37" t="s">
        <v>353</v>
      </c>
      <c r="F25" s="38">
        <v>0</v>
      </c>
      <c r="G25" s="37" t="s">
        <v>354</v>
      </c>
      <c r="H25" s="37" t="s">
        <v>355</v>
      </c>
      <c r="I25" s="38" t="s">
        <v>5</v>
      </c>
    </row>
    <row r="26" s="2" customFormat="1" ht="20" customHeight="1" spans="1:9">
      <c r="A26" s="36" t="s">
        <v>356</v>
      </c>
      <c r="B26" s="37" t="s">
        <v>357</v>
      </c>
      <c r="C26" s="38">
        <v>0</v>
      </c>
      <c r="D26" s="37" t="s">
        <v>358</v>
      </c>
      <c r="E26" s="37" t="s">
        <v>359</v>
      </c>
      <c r="F26" s="38">
        <v>0</v>
      </c>
      <c r="G26" s="37" t="s">
        <v>360</v>
      </c>
      <c r="H26" s="37" t="s">
        <v>361</v>
      </c>
      <c r="I26" s="38" t="s">
        <v>5</v>
      </c>
    </row>
    <row r="27" s="2" customFormat="1" ht="20" customHeight="1" spans="1:9">
      <c r="A27" s="36" t="s">
        <v>362</v>
      </c>
      <c r="B27" s="37" t="s">
        <v>363</v>
      </c>
      <c r="C27" s="38">
        <v>0</v>
      </c>
      <c r="D27" s="37" t="s">
        <v>364</v>
      </c>
      <c r="E27" s="37" t="s">
        <v>365</v>
      </c>
      <c r="F27" s="38">
        <f>78041/10000</f>
        <v>7.8041</v>
      </c>
      <c r="G27" s="37" t="s">
        <v>366</v>
      </c>
      <c r="H27" s="50" t="s">
        <v>192</v>
      </c>
      <c r="I27" s="51" t="s">
        <v>5</v>
      </c>
    </row>
    <row r="28" s="2" customFormat="1" ht="20" customHeight="1" spans="1:9">
      <c r="A28" s="36" t="s">
        <v>367</v>
      </c>
      <c r="B28" s="37" t="s">
        <v>368</v>
      </c>
      <c r="C28" s="38">
        <v>0</v>
      </c>
      <c r="D28" s="37" t="s">
        <v>369</v>
      </c>
      <c r="E28" s="37" t="s">
        <v>370</v>
      </c>
      <c r="F28" s="38">
        <f>1510815.33/10000</f>
        <v>151.081533</v>
      </c>
      <c r="G28" s="37" t="s">
        <v>371</v>
      </c>
      <c r="H28" s="37" t="s">
        <v>372</v>
      </c>
      <c r="I28" s="38" t="s">
        <v>5</v>
      </c>
    </row>
    <row r="29" s="2" customFormat="1" ht="20" customHeight="1" spans="1:9">
      <c r="A29" s="36" t="s">
        <v>373</v>
      </c>
      <c r="B29" s="37" t="s">
        <v>374</v>
      </c>
      <c r="C29" s="38">
        <v>0</v>
      </c>
      <c r="D29" s="37" t="s">
        <v>375</v>
      </c>
      <c r="E29" s="37" t="s">
        <v>376</v>
      </c>
      <c r="F29" s="38">
        <f>1246090.89/10000</f>
        <v>124.609089</v>
      </c>
      <c r="G29" s="37" t="s">
        <v>377</v>
      </c>
      <c r="H29" s="37" t="s">
        <v>378</v>
      </c>
      <c r="I29" s="38" t="s">
        <v>5</v>
      </c>
    </row>
    <row r="30" s="2" customFormat="1" ht="20" customHeight="1" spans="1:9">
      <c r="A30" s="36" t="s">
        <v>379</v>
      </c>
      <c r="B30" s="37" t="s">
        <v>380</v>
      </c>
      <c r="C30" s="38">
        <v>0</v>
      </c>
      <c r="D30" s="37" t="s">
        <v>381</v>
      </c>
      <c r="E30" s="37" t="s">
        <v>382</v>
      </c>
      <c r="F30" s="38">
        <f>91218/10000</f>
        <v>9.1218</v>
      </c>
      <c r="G30" s="37" t="s">
        <v>383</v>
      </c>
      <c r="H30" s="37" t="s">
        <v>384</v>
      </c>
      <c r="I30" s="38" t="s">
        <v>5</v>
      </c>
    </row>
    <row r="31" s="2" customFormat="1" ht="20" customHeight="1" spans="1:9">
      <c r="A31" s="36" t="s">
        <v>385</v>
      </c>
      <c r="B31" s="37" t="s">
        <v>386</v>
      </c>
      <c r="C31" s="38">
        <v>0</v>
      </c>
      <c r="D31" s="37" t="s">
        <v>387</v>
      </c>
      <c r="E31" s="37" t="s">
        <v>388</v>
      </c>
      <c r="F31" s="38">
        <v>0</v>
      </c>
      <c r="G31" s="37" t="s">
        <v>389</v>
      </c>
      <c r="H31" s="37" t="s">
        <v>390</v>
      </c>
      <c r="I31" s="38" t="s">
        <v>5</v>
      </c>
    </row>
    <row r="32" s="2" customFormat="1" ht="20" customHeight="1" spans="1:9">
      <c r="A32" s="36" t="s">
        <v>391</v>
      </c>
      <c r="B32" s="37" t="s">
        <v>392</v>
      </c>
      <c r="C32" s="38">
        <v>0</v>
      </c>
      <c r="D32" s="37" t="s">
        <v>393</v>
      </c>
      <c r="E32" s="37" t="s">
        <v>394</v>
      </c>
      <c r="F32" s="38">
        <f>302644.48/10000</f>
        <v>30.264448</v>
      </c>
      <c r="G32" s="37" t="s">
        <v>395</v>
      </c>
      <c r="H32" s="37" t="s">
        <v>396</v>
      </c>
      <c r="I32" s="38" t="s">
        <v>5</v>
      </c>
    </row>
    <row r="33" s="2" customFormat="1" ht="20" customHeight="1" spans="1:9">
      <c r="A33" s="36" t="s">
        <v>397</v>
      </c>
      <c r="B33" s="37" t="s">
        <v>398</v>
      </c>
      <c r="C33" s="38">
        <v>0</v>
      </c>
      <c r="D33" s="37" t="s">
        <v>399</v>
      </c>
      <c r="E33" s="37" t="s">
        <v>400</v>
      </c>
      <c r="F33" s="38">
        <f>18748.17/10000</f>
        <v>1.874817</v>
      </c>
      <c r="G33" s="37" t="s">
        <v>5</v>
      </c>
      <c r="H33" s="37" t="s">
        <v>5</v>
      </c>
      <c r="I33" s="38" t="s">
        <v>5</v>
      </c>
    </row>
    <row r="34" s="2" customFormat="1" ht="20" customHeight="1" spans="1:9">
      <c r="A34" s="36" t="s">
        <v>5</v>
      </c>
      <c r="B34" s="37" t="s">
        <v>5</v>
      </c>
      <c r="C34" s="38" t="s">
        <v>5</v>
      </c>
      <c r="D34" s="37" t="s">
        <v>401</v>
      </c>
      <c r="E34" s="37" t="s">
        <v>402</v>
      </c>
      <c r="F34" s="38">
        <f>1433863.69/10000</f>
        <v>143.386369</v>
      </c>
      <c r="G34" s="37" t="s">
        <v>5</v>
      </c>
      <c r="H34" s="37" t="s">
        <v>5</v>
      </c>
      <c r="I34" s="38" t="s">
        <v>5</v>
      </c>
    </row>
    <row r="35" s="3" customFormat="1" ht="20" customHeight="1" spans="1:9">
      <c r="A35" s="52" t="s">
        <v>403</v>
      </c>
      <c r="B35" s="13" t="s">
        <v>5</v>
      </c>
      <c r="C35" s="51">
        <f>C7+C21</f>
        <v>4077.095276</v>
      </c>
      <c r="D35" s="13" t="s">
        <v>404</v>
      </c>
      <c r="E35" s="13" t="s">
        <v>5</v>
      </c>
      <c r="F35" s="13" t="s">
        <v>5</v>
      </c>
      <c r="G35" s="13" t="s">
        <v>5</v>
      </c>
      <c r="H35" s="13" t="s">
        <v>5</v>
      </c>
      <c r="I35" s="51">
        <f>F7+I10</f>
        <v>972.17868</v>
      </c>
    </row>
    <row r="36" s="2" customFormat="1" ht="20" customHeight="1" spans="1:9">
      <c r="A36" s="39" t="s">
        <v>405</v>
      </c>
      <c r="B36" s="39" t="s">
        <v>5</v>
      </c>
      <c r="C36" s="39" t="s">
        <v>5</v>
      </c>
      <c r="D36" s="39" t="s">
        <v>5</v>
      </c>
      <c r="E36" s="39" t="s">
        <v>5</v>
      </c>
      <c r="F36" s="39" t="s">
        <v>5</v>
      </c>
      <c r="G36" s="39" t="s">
        <v>5</v>
      </c>
      <c r="H36" s="39" t="s">
        <v>5</v>
      </c>
      <c r="I36" s="39" t="s">
        <v>5</v>
      </c>
    </row>
    <row r="38" spans="1:9">
      <c r="E38" s="19" t="s">
        <v>406</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landscape"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zoomScaleSheetLayoutView="60" workbookViewId="0">
      <pane xSplit="4" ySplit="6" topLeftCell="E7" activePane="bottomRight" state="frozen"/>
      <selection/>
      <selection pane="topRight"/>
      <selection pane="bottomLeft"/>
      <selection pane="bottomRight" activeCell="F11" sqref="F11"/>
    </sheetView>
  </sheetViews>
  <sheetFormatPr defaultColWidth="8.88571428571429" defaultRowHeight="12.75"/>
  <cols>
    <col min="1" max="1" width="4.42857142857143" style="5" customWidth="1"/>
    <col min="2" max="2" width="2.71428571428571" style="5" customWidth="1"/>
    <col min="3" max="3" width="3.57142857142857" style="5" customWidth="1"/>
    <col min="4" max="4" width="35.7142857142857" style="5" customWidth="1"/>
    <col min="5" max="10" width="16" style="5" customWidth="1"/>
    <col min="11" max="11" width="9.76190476190476" style="5"/>
    <col min="12" max="16384" width="8.88571428571429" style="5"/>
  </cols>
  <sheetData>
    <row r="1" s="1" customFormat="1" ht="21" customHeight="1" spans="1:11">
      <c r="A1" s="6" t="s">
        <v>407</v>
      </c>
      <c r="B1" s="7"/>
      <c r="C1" s="7"/>
      <c r="D1" s="7"/>
      <c r="E1" s="7"/>
      <c r="F1" s="6" t="s">
        <v>407</v>
      </c>
      <c r="G1" s="7"/>
      <c r="H1" s="7"/>
      <c r="I1" s="7"/>
      <c r="J1" s="7"/>
    </row>
    <row r="2" s="2" customFormat="1" ht="21" customHeight="1" spans="1:11">
      <c r="J2" s="8" t="s">
        <v>408</v>
      </c>
    </row>
    <row r="3" s="2" customFormat="1" ht="21" customHeight="1" spans="1:11">
      <c r="A3" s="2" t="str">
        <f>一般公共预算财政拨款基本支出决算表!A3</f>
        <v>部门：岳阳县自然资源局</v>
      </c>
      <c r="J3" s="8" t="s">
        <v>3</v>
      </c>
    </row>
    <row r="4" s="3" customFormat="1" ht="21" customHeight="1" spans="1:11">
      <c r="A4" s="22" t="s">
        <v>409</v>
      </c>
      <c r="B4" s="23" t="s">
        <v>5</v>
      </c>
      <c r="C4" s="23" t="s">
        <v>5</v>
      </c>
      <c r="D4" s="23" t="s">
        <v>119</v>
      </c>
      <c r="E4" s="23" t="s">
        <v>105</v>
      </c>
      <c r="F4" s="23" t="s">
        <v>410</v>
      </c>
      <c r="G4" s="23" t="s">
        <v>230</v>
      </c>
      <c r="H4" s="23" t="s">
        <v>5</v>
      </c>
      <c r="I4" s="23" t="s">
        <v>5</v>
      </c>
      <c r="J4" s="23" t="s">
        <v>107</v>
      </c>
      <c r="K4" s="24"/>
    </row>
    <row r="5" s="3" customFormat="1" ht="30" customHeight="1" spans="1:11">
      <c r="A5" s="11" t="s">
        <v>126</v>
      </c>
      <c r="B5" s="12" t="s">
        <v>5</v>
      </c>
      <c r="C5" s="12" t="s">
        <v>5</v>
      </c>
      <c r="D5" s="12" t="s">
        <v>119</v>
      </c>
      <c r="E5" s="12" t="s">
        <v>130</v>
      </c>
      <c r="F5" s="12" t="s">
        <v>130</v>
      </c>
      <c r="G5" s="12" t="s">
        <v>127</v>
      </c>
      <c r="H5" s="12" t="s">
        <v>201</v>
      </c>
      <c r="I5" s="12" t="s">
        <v>202</v>
      </c>
      <c r="J5" s="12" t="s">
        <v>130</v>
      </c>
      <c r="K5" s="24"/>
    </row>
    <row r="6" s="3" customFormat="1" ht="21" customHeight="1" spans="1:11">
      <c r="A6" s="25" t="s">
        <v>411</v>
      </c>
      <c r="B6" s="25" t="s">
        <v>128</v>
      </c>
      <c r="C6" s="25" t="s">
        <v>129</v>
      </c>
      <c r="D6" s="25" t="s">
        <v>10</v>
      </c>
      <c r="E6" s="43" t="s">
        <v>11</v>
      </c>
      <c r="F6" s="43" t="s">
        <v>12</v>
      </c>
      <c r="G6" s="43" t="s">
        <v>20</v>
      </c>
      <c r="H6" s="43" t="s">
        <v>24</v>
      </c>
      <c r="I6" s="43" t="s">
        <v>28</v>
      </c>
      <c r="J6" s="43" t="s">
        <v>32</v>
      </c>
      <c r="K6" s="24"/>
    </row>
    <row r="7" s="3" customFormat="1" ht="21" customHeight="1" spans="1:11">
      <c r="A7" s="44" t="s">
        <v>412</v>
      </c>
      <c r="B7" s="44" t="s">
        <v>5</v>
      </c>
      <c r="C7" s="44" t="s">
        <v>5</v>
      </c>
      <c r="D7" s="44" t="s">
        <v>130</v>
      </c>
      <c r="E7" s="28">
        <v>0</v>
      </c>
      <c r="F7" s="28">
        <f>F8+F12</f>
        <v>848.767162</v>
      </c>
      <c r="G7" s="28">
        <f t="shared" ref="G7:G14" si="0">H7+I7</f>
        <v>848.767162</v>
      </c>
      <c r="H7" s="28">
        <f>H8+H12</f>
        <v>208.782212</v>
      </c>
      <c r="I7" s="28">
        <f>I8+I12</f>
        <v>639.98495</v>
      </c>
      <c r="J7" s="28">
        <v>0</v>
      </c>
      <c r="K7" s="24"/>
    </row>
    <row r="8" s="20" customFormat="1" ht="21" customHeight="1" spans="1:11">
      <c r="A8" s="27" t="s">
        <v>151</v>
      </c>
      <c r="B8" s="27"/>
      <c r="C8" s="27"/>
      <c r="D8" s="27" t="s">
        <v>152</v>
      </c>
      <c r="E8" s="28">
        <v>0</v>
      </c>
      <c r="F8" s="28">
        <f>F9</f>
        <v>539.697962</v>
      </c>
      <c r="G8" s="28">
        <f t="shared" si="0"/>
        <v>539.697962</v>
      </c>
      <c r="H8" s="28">
        <f>H9</f>
        <v>118.572212</v>
      </c>
      <c r="I8" s="28">
        <f>I9</f>
        <v>421.12575</v>
      </c>
      <c r="J8" s="28">
        <v>0</v>
      </c>
    </row>
    <row r="9" s="21" customFormat="1" ht="21" customHeight="1" spans="1:11">
      <c r="A9" s="29" t="s">
        <v>153</v>
      </c>
      <c r="B9" s="29"/>
      <c r="C9" s="29"/>
      <c r="D9" s="29" t="s">
        <v>154</v>
      </c>
      <c r="E9" s="31">
        <v>0</v>
      </c>
      <c r="F9" s="31">
        <f>SUM(F10:F11)</f>
        <v>539.697962</v>
      </c>
      <c r="G9" s="31">
        <f t="shared" si="0"/>
        <v>539.697962</v>
      </c>
      <c r="H9" s="31">
        <f>SUM(H10:H11)</f>
        <v>118.572212</v>
      </c>
      <c r="I9" s="31">
        <f>SUM(I10:I11)</f>
        <v>421.12575</v>
      </c>
      <c r="J9" s="31">
        <v>0</v>
      </c>
    </row>
    <row r="10" s="21" customFormat="1" ht="21" customHeight="1" spans="1:11">
      <c r="A10" s="29" t="s">
        <v>155</v>
      </c>
      <c r="B10" s="29"/>
      <c r="C10" s="29"/>
      <c r="D10" s="29" t="s">
        <v>156</v>
      </c>
      <c r="E10" s="31">
        <v>0</v>
      </c>
      <c r="F10" s="31">
        <f>667281.22/10000</f>
        <v>66.728122</v>
      </c>
      <c r="G10" s="31">
        <f t="shared" si="0"/>
        <v>66.728122</v>
      </c>
      <c r="H10" s="31">
        <f>667281.22/10000</f>
        <v>66.728122</v>
      </c>
      <c r="I10" s="31">
        <f>0/10000</f>
        <v>0</v>
      </c>
      <c r="J10" s="31">
        <v>0</v>
      </c>
    </row>
    <row r="11" s="21" customFormat="1" ht="21" customHeight="1" spans="1:11">
      <c r="A11" s="45" t="s">
        <v>157</v>
      </c>
      <c r="B11" s="45"/>
      <c r="C11" s="45"/>
      <c r="D11" s="45" t="s">
        <v>158</v>
      </c>
      <c r="E11" s="46">
        <v>0</v>
      </c>
      <c r="F11" s="46">
        <f>4729698.4/10000</f>
        <v>472.96984</v>
      </c>
      <c r="G11" s="46">
        <f t="shared" si="0"/>
        <v>472.96984</v>
      </c>
      <c r="H11" s="46">
        <f>518440.9/10000</f>
        <v>51.84409</v>
      </c>
      <c r="I11" s="46">
        <f>4211257.5/10000</f>
        <v>421.12575</v>
      </c>
      <c r="J11" s="46">
        <v>0</v>
      </c>
    </row>
    <row r="12" s="3" customFormat="1" ht="21" customHeight="1" spans="1:11">
      <c r="A12" s="47">
        <v>229</v>
      </c>
      <c r="B12" s="47"/>
      <c r="C12" s="47"/>
      <c r="D12" s="47" t="s">
        <v>192</v>
      </c>
      <c r="E12" s="48">
        <v>0</v>
      </c>
      <c r="F12" s="28">
        <f t="shared" ref="F12:I12" si="1">F13</f>
        <v>309.0692</v>
      </c>
      <c r="G12" s="28">
        <f t="shared" si="0"/>
        <v>309.0692</v>
      </c>
      <c r="H12" s="28">
        <f t="shared" si="1"/>
        <v>90.21</v>
      </c>
      <c r="I12" s="28">
        <f t="shared" si="1"/>
        <v>218.8592</v>
      </c>
      <c r="J12" s="48">
        <v>0</v>
      </c>
    </row>
    <row r="13" s="2" customFormat="1" ht="21" customHeight="1" spans="1:11">
      <c r="A13" s="32">
        <v>22904</v>
      </c>
      <c r="B13" s="32"/>
      <c r="C13" s="32"/>
      <c r="D13" s="32" t="s">
        <v>193</v>
      </c>
      <c r="E13" s="46">
        <v>0</v>
      </c>
      <c r="F13" s="31">
        <f t="shared" ref="F13:I13" si="2">F14</f>
        <v>309.0692</v>
      </c>
      <c r="G13" s="31">
        <f t="shared" si="0"/>
        <v>309.0692</v>
      </c>
      <c r="H13" s="31">
        <f t="shared" si="2"/>
        <v>90.21</v>
      </c>
      <c r="I13" s="31">
        <f t="shared" si="2"/>
        <v>218.8592</v>
      </c>
      <c r="J13" s="46">
        <v>0</v>
      </c>
    </row>
    <row r="14" s="2" customFormat="1" ht="21" customHeight="1" spans="1:11">
      <c r="A14" s="32">
        <v>2290401</v>
      </c>
      <c r="B14" s="32"/>
      <c r="C14" s="32"/>
      <c r="D14" s="32" t="s">
        <v>194</v>
      </c>
      <c r="E14" s="31">
        <v>0</v>
      </c>
      <c r="F14" s="31">
        <f>3090692/10000</f>
        <v>309.0692</v>
      </c>
      <c r="G14" s="31">
        <f t="shared" si="0"/>
        <v>309.0692</v>
      </c>
      <c r="H14" s="31">
        <f>902100/10000</f>
        <v>90.21</v>
      </c>
      <c r="I14" s="31">
        <f>2188592/10000</f>
        <v>218.8592</v>
      </c>
      <c r="J14" s="31">
        <v>0</v>
      </c>
    </row>
    <row r="15" s="2" customFormat="1" ht="21" customHeight="1" spans="1:11">
      <c r="A15" s="39" t="s">
        <v>413</v>
      </c>
      <c r="B15" s="39" t="s">
        <v>5</v>
      </c>
      <c r="C15" s="39" t="s">
        <v>5</v>
      </c>
      <c r="D15" s="39" t="s">
        <v>5</v>
      </c>
      <c r="E15" s="39" t="s">
        <v>5</v>
      </c>
      <c r="F15" s="39" t="s">
        <v>5</v>
      </c>
      <c r="G15" s="39" t="s">
        <v>5</v>
      </c>
      <c r="H15" s="39" t="s">
        <v>5</v>
      </c>
      <c r="I15" s="39" t="s">
        <v>5</v>
      </c>
      <c r="J15" s="39" t="s">
        <v>5</v>
      </c>
    </row>
    <row r="16" ht="15.4" customHeight="1" spans="1:11">
      <c r="A16" s="40" t="s">
        <v>5</v>
      </c>
      <c r="B16" s="40" t="s">
        <v>5</v>
      </c>
      <c r="C16" s="40" t="s">
        <v>5</v>
      </c>
      <c r="D16" s="40" t="s">
        <v>5</v>
      </c>
      <c r="E16" s="40" t="s">
        <v>5</v>
      </c>
      <c r="F16" s="40" t="s">
        <v>5</v>
      </c>
      <c r="G16" s="40" t="s">
        <v>5</v>
      </c>
      <c r="H16" s="40" t="s">
        <v>5</v>
      </c>
      <c r="I16" s="40" t="s">
        <v>5</v>
      </c>
      <c r="J16" s="40" t="s">
        <v>5</v>
      </c>
    </row>
    <row r="18" spans="6:6">
      <c r="F18" s="42"/>
    </row>
  </sheetData>
  <mergeCells count="51">
    <mergeCell ref="A1:J1"/>
    <mergeCell ref="A4:D4"/>
    <mergeCell ref="A4:D4"/>
    <mergeCell ref="A4:D4"/>
    <mergeCell ref="A4:D4"/>
    <mergeCell ref="G4:I4"/>
    <mergeCell ref="G4:I4"/>
    <mergeCell ref="G4:I4"/>
    <mergeCell ref="A5:C5"/>
    <mergeCell ref="A5:C5"/>
    <mergeCell ref="A5:C5"/>
    <mergeCell ref="A6:D6"/>
    <mergeCell ref="A6:D6"/>
    <mergeCell ref="A6:D6"/>
    <mergeCell ref="A6:D6"/>
    <mergeCell ref="A7:D7"/>
    <mergeCell ref="A7:D7"/>
    <mergeCell ref="A7:D7"/>
    <mergeCell ref="A7:D7"/>
    <mergeCell ref="A8:C8"/>
    <mergeCell ref="A9:C9"/>
    <mergeCell ref="A10:C10"/>
    <mergeCell ref="A11:C11"/>
    <mergeCell ref="A12:C12"/>
    <mergeCell ref="A13:C13"/>
    <mergeCell ref="A14:C14"/>
    <mergeCell ref="A15:J15"/>
    <mergeCell ref="A15:J15"/>
    <mergeCell ref="A15:J15"/>
    <mergeCell ref="A15:J15"/>
    <mergeCell ref="A15:J15"/>
    <mergeCell ref="A15:J15"/>
    <mergeCell ref="A15:J15"/>
    <mergeCell ref="A15:J15"/>
    <mergeCell ref="A15:J15"/>
    <mergeCell ref="A15:J15"/>
    <mergeCell ref="B16:J16"/>
    <mergeCell ref="B16:J16"/>
    <mergeCell ref="B16:J16"/>
    <mergeCell ref="B16:J16"/>
    <mergeCell ref="B16:J16"/>
    <mergeCell ref="B16:J16"/>
    <mergeCell ref="B16:J16"/>
    <mergeCell ref="B16:J16"/>
    <mergeCell ref="B16:J16"/>
    <mergeCell ref="E4:E5"/>
    <mergeCell ref="E4:E5"/>
    <mergeCell ref="F4:F5"/>
    <mergeCell ref="F4:F5"/>
    <mergeCell ref="J4:J5"/>
    <mergeCell ref="J4:J5"/>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zoomScaleSheetLayoutView="60" workbookViewId="0">
      <pane xSplit="4" ySplit="8" topLeftCell="E9" activePane="bottomRight" state="frozen"/>
      <selection/>
      <selection pane="topRight"/>
      <selection pane="bottomLeft"/>
      <selection pane="bottomRight" activeCell="L18" sqref="L18"/>
    </sheetView>
  </sheetViews>
  <sheetFormatPr defaultColWidth="8.88571428571429" defaultRowHeight="12.75" outlineLevelCol="7"/>
  <cols>
    <col min="1" max="1" width="4.57142857142857" style="5" customWidth="1"/>
    <col min="2" max="3" width="4.13333333333333" style="5" customWidth="1"/>
    <col min="4" max="4" width="35.847619047619" style="5" customWidth="1"/>
    <col min="5" max="5" width="16" style="5" customWidth="1"/>
    <col min="6" max="7" width="17.1333333333333" style="5" customWidth="1"/>
    <col min="8" max="8" width="9.76190476190476" style="5"/>
    <col min="9" max="16384" width="8.88571428571429" style="5"/>
  </cols>
  <sheetData>
    <row r="1" s="1" customFormat="1" ht="24" customHeight="1" spans="1:8">
      <c r="A1" s="6" t="s">
        <v>414</v>
      </c>
      <c r="B1" s="7"/>
      <c r="C1" s="7"/>
      <c r="D1" s="7"/>
      <c r="E1" s="6" t="s">
        <v>414</v>
      </c>
      <c r="F1" s="7"/>
      <c r="G1" s="7"/>
    </row>
    <row r="2" s="2" customFormat="1" ht="21" customHeight="1" spans="1:8">
      <c r="G2" s="8" t="s">
        <v>415</v>
      </c>
    </row>
    <row r="3" s="2" customFormat="1" ht="21" customHeight="1" spans="1:8">
      <c r="A3" s="2" t="str">
        <f>政府性基金预算财政拨款收入支出决算表!A3</f>
        <v>部门：岳阳县自然资源局</v>
      </c>
      <c r="G3" s="8" t="s">
        <v>3</v>
      </c>
    </row>
    <row r="4" s="3" customFormat="1" ht="21" customHeight="1" spans="1:8">
      <c r="A4" s="22" t="s">
        <v>7</v>
      </c>
      <c r="B4" s="23" t="s">
        <v>5</v>
      </c>
      <c r="C4" s="23" t="s">
        <v>5</v>
      </c>
      <c r="D4" s="23" t="s">
        <v>119</v>
      </c>
      <c r="E4" s="23" t="s">
        <v>230</v>
      </c>
      <c r="F4" s="23" t="s">
        <v>5</v>
      </c>
      <c r="G4" s="23" t="s">
        <v>5</v>
      </c>
      <c r="H4" s="24"/>
    </row>
    <row r="5" s="3" customFormat="1" ht="21" customHeight="1" spans="1:8">
      <c r="A5" s="11" t="s">
        <v>126</v>
      </c>
      <c r="B5" s="12" t="s">
        <v>5</v>
      </c>
      <c r="C5" s="12" t="s">
        <v>5</v>
      </c>
      <c r="D5" s="12" t="s">
        <v>119</v>
      </c>
      <c r="E5" s="12" t="s">
        <v>130</v>
      </c>
      <c r="F5" s="12" t="s">
        <v>201</v>
      </c>
      <c r="G5" s="12" t="s">
        <v>202</v>
      </c>
      <c r="H5" s="24"/>
    </row>
    <row r="6" s="3" customFormat="1" ht="21" customHeight="1" spans="1:8">
      <c r="A6" s="11" t="s">
        <v>5</v>
      </c>
      <c r="B6" s="12" t="s">
        <v>5</v>
      </c>
      <c r="C6" s="12" t="s">
        <v>5</v>
      </c>
      <c r="D6" s="12" t="s">
        <v>5</v>
      </c>
      <c r="E6" s="12" t="s">
        <v>5</v>
      </c>
      <c r="F6" s="12" t="s">
        <v>5</v>
      </c>
      <c r="G6" s="12" t="s">
        <v>5</v>
      </c>
      <c r="H6" s="24"/>
    </row>
    <row r="7" s="3" customFormat="1" ht="21" customHeight="1" spans="1:8">
      <c r="A7" s="11" t="s">
        <v>5</v>
      </c>
      <c r="B7" s="12" t="s">
        <v>5</v>
      </c>
      <c r="C7" s="12" t="s">
        <v>5</v>
      </c>
      <c r="D7" s="12" t="s">
        <v>119</v>
      </c>
      <c r="E7" s="12" t="s">
        <v>5</v>
      </c>
      <c r="F7" s="12" t="s">
        <v>5</v>
      </c>
      <c r="G7" s="12" t="s">
        <v>5</v>
      </c>
      <c r="H7" s="24"/>
    </row>
    <row r="8" s="3" customFormat="1" ht="21" customHeight="1" spans="1:8">
      <c r="A8" s="11" t="s">
        <v>10</v>
      </c>
      <c r="B8" s="12" t="s">
        <v>128</v>
      </c>
      <c r="C8" s="12" t="s">
        <v>129</v>
      </c>
      <c r="D8" s="12" t="s">
        <v>10</v>
      </c>
      <c r="E8" s="13" t="s">
        <v>20</v>
      </c>
      <c r="F8" s="13" t="s">
        <v>5</v>
      </c>
      <c r="G8" s="13" t="s">
        <v>5</v>
      </c>
      <c r="H8" s="24"/>
    </row>
    <row r="9" s="3" customFormat="1" ht="21" customHeight="1" spans="1:8">
      <c r="A9" s="25" t="s">
        <v>130</v>
      </c>
      <c r="B9" s="25" t="s">
        <v>5</v>
      </c>
      <c r="C9" s="25" t="s">
        <v>5</v>
      </c>
      <c r="D9" s="25" t="s">
        <v>130</v>
      </c>
      <c r="E9" s="26">
        <f>F9+G9</f>
        <v>10</v>
      </c>
      <c r="F9" s="26">
        <v>0</v>
      </c>
      <c r="G9" s="26">
        <f>G10</f>
        <v>10</v>
      </c>
      <c r="H9" s="24"/>
    </row>
    <row r="10" s="20" customFormat="1" ht="21" customHeight="1" spans="1:8">
      <c r="A10" s="27" t="s">
        <v>180</v>
      </c>
      <c r="B10" s="27"/>
      <c r="C10" s="27"/>
      <c r="D10" s="27" t="s">
        <v>181</v>
      </c>
      <c r="E10" s="26">
        <f>F10+G10</f>
        <v>10</v>
      </c>
      <c r="F10" s="28"/>
      <c r="G10" s="28">
        <f>G11</f>
        <v>10</v>
      </c>
    </row>
    <row r="11" s="21" customFormat="1" ht="21" customHeight="1" spans="1:8">
      <c r="A11" s="29" t="s">
        <v>182</v>
      </c>
      <c r="B11" s="29"/>
      <c r="C11" s="29"/>
      <c r="D11" s="29" t="s">
        <v>183</v>
      </c>
      <c r="E11" s="30">
        <f>F11+G11</f>
        <v>10</v>
      </c>
      <c r="F11" s="31"/>
      <c r="G11" s="31">
        <f>G12</f>
        <v>10</v>
      </c>
    </row>
    <row r="12" s="21" customFormat="1" ht="21" customHeight="1" spans="1:8">
      <c r="A12" s="29" t="s">
        <v>184</v>
      </c>
      <c r="B12" s="29"/>
      <c r="C12" s="29"/>
      <c r="D12" s="29" t="s">
        <v>183</v>
      </c>
      <c r="E12" s="30">
        <f>F12+G12</f>
        <v>10</v>
      </c>
      <c r="F12" s="31"/>
      <c r="G12" s="31">
        <f>100000/10000</f>
        <v>10</v>
      </c>
    </row>
    <row r="13" s="2" customFormat="1" ht="21" customHeight="1" spans="1:8">
      <c r="A13" s="32" t="s">
        <v>5</v>
      </c>
      <c r="B13" s="32" t="s">
        <v>5</v>
      </c>
      <c r="C13" s="32" t="s">
        <v>5</v>
      </c>
      <c r="D13" s="32" t="s">
        <v>5</v>
      </c>
      <c r="E13" s="33" t="s">
        <v>5</v>
      </c>
      <c r="F13" s="33" t="s">
        <v>5</v>
      </c>
      <c r="G13" s="33" t="s">
        <v>5</v>
      </c>
    </row>
    <row r="14" s="2" customFormat="1" ht="21" customHeight="1" spans="1:8">
      <c r="A14" s="34" t="s">
        <v>5</v>
      </c>
      <c r="B14" s="34" t="s">
        <v>5</v>
      </c>
      <c r="C14" s="34" t="s">
        <v>5</v>
      </c>
      <c r="D14" s="34" t="s">
        <v>5</v>
      </c>
      <c r="E14" s="35" t="s">
        <v>5</v>
      </c>
      <c r="F14" s="35" t="s">
        <v>5</v>
      </c>
      <c r="G14" s="35" t="s">
        <v>5</v>
      </c>
    </row>
    <row r="15" s="2" customFormat="1" ht="21" customHeight="1" spans="1:8">
      <c r="A15" s="36" t="s">
        <v>5</v>
      </c>
      <c r="B15" s="37" t="s">
        <v>5</v>
      </c>
      <c r="C15" s="37" t="s">
        <v>5</v>
      </c>
      <c r="D15" s="37" t="s">
        <v>5</v>
      </c>
      <c r="E15" s="38" t="s">
        <v>5</v>
      </c>
      <c r="F15" s="38" t="s">
        <v>5</v>
      </c>
      <c r="G15" s="38" t="s">
        <v>5</v>
      </c>
    </row>
    <row r="16" s="2" customFormat="1" ht="21" customHeight="1" spans="1:8">
      <c r="A16" s="39" t="s">
        <v>416</v>
      </c>
      <c r="B16" s="39" t="s">
        <v>5</v>
      </c>
      <c r="C16" s="39" t="s">
        <v>5</v>
      </c>
      <c r="D16" s="39" t="s">
        <v>5</v>
      </c>
      <c r="E16" s="39" t="s">
        <v>5</v>
      </c>
      <c r="F16" s="39" t="s">
        <v>5</v>
      </c>
      <c r="G16" s="39" t="s">
        <v>5</v>
      </c>
    </row>
    <row r="17" ht="15.4" customHeight="1" spans="1:7">
      <c r="A17" s="40" t="s">
        <v>5</v>
      </c>
      <c r="B17" s="40" t="s">
        <v>5</v>
      </c>
      <c r="C17" s="40" t="s">
        <v>5</v>
      </c>
      <c r="D17" s="40" t="s">
        <v>5</v>
      </c>
      <c r="E17" s="40" t="s">
        <v>5</v>
      </c>
      <c r="F17" s="41" t="s">
        <v>5</v>
      </c>
      <c r="G17" s="41" t="s">
        <v>5</v>
      </c>
    </row>
    <row r="18" ht="15.4" customHeight="1" spans="1:7">
      <c r="A18" s="41" t="s">
        <v>5</v>
      </c>
      <c r="B18" s="41" t="s">
        <v>5</v>
      </c>
      <c r="C18" s="41" t="s">
        <v>5</v>
      </c>
      <c r="D18" s="41" t="s">
        <v>5</v>
      </c>
      <c r="E18" s="41" t="s">
        <v>5</v>
      </c>
      <c r="F18" s="41" t="s">
        <v>5</v>
      </c>
      <c r="G18" s="41" t="s">
        <v>5</v>
      </c>
    </row>
    <row r="20" spans="1:7">
      <c r="E20" s="42" t="s">
        <v>417</v>
      </c>
    </row>
  </sheetData>
  <mergeCells count="64">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1:C11"/>
    <mergeCell ref="A12:C12"/>
    <mergeCell ref="A13:C13"/>
    <mergeCell ref="A13:C13"/>
    <mergeCell ref="A13:C13"/>
    <mergeCell ref="A14:C14"/>
    <mergeCell ref="A14:C14"/>
    <mergeCell ref="A14:C14"/>
    <mergeCell ref="A15:C15"/>
    <mergeCell ref="A15:C15"/>
    <mergeCell ref="A15:C15"/>
    <mergeCell ref="A16:E16"/>
    <mergeCell ref="A16:E16"/>
    <mergeCell ref="A16:E16"/>
    <mergeCell ref="A16:E16"/>
    <mergeCell ref="A16:E16"/>
    <mergeCell ref="B17:E17"/>
    <mergeCell ref="B17:E17"/>
    <mergeCell ref="B17:E17"/>
    <mergeCell ref="B17:E17"/>
    <mergeCell ref="B18:G18"/>
    <mergeCell ref="B18:G18"/>
    <mergeCell ref="B18:G18"/>
    <mergeCell ref="B18:G18"/>
    <mergeCell ref="B18:G18"/>
    <mergeCell ref="B18:G1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zoomScaleSheetLayoutView="60" workbookViewId="0">
      <pane xSplit="1" ySplit="7" topLeftCell="B8" activePane="bottomRight" state="frozen"/>
      <selection/>
      <selection pane="topRight"/>
      <selection pane="bottomLeft"/>
      <selection pane="bottomRight" activeCell="P10" sqref="P10"/>
    </sheetView>
  </sheetViews>
  <sheetFormatPr defaultColWidth="8.88571428571429" defaultRowHeight="12.75"/>
  <cols>
    <col min="1" max="1" width="12.2857142857143" style="5" customWidth="1"/>
    <col min="2" max="2" width="12" style="5" customWidth="1"/>
    <col min="3" max="3" width="11" style="5" customWidth="1"/>
    <col min="4" max="4" width="11.1333333333333" style="5" customWidth="1"/>
    <col min="5" max="5" width="12.7142857142857" style="5" customWidth="1"/>
    <col min="6" max="6" width="10.5714285714286" style="5" customWidth="1"/>
    <col min="7" max="7" width="10.4285714285714" style="5" customWidth="1"/>
    <col min="8" max="8" width="12" style="5" customWidth="1"/>
    <col min="9" max="10" width="11.7142857142857" style="5" customWidth="1"/>
    <col min="11" max="11" width="11.4285714285714" style="5" customWidth="1"/>
    <col min="12" max="12" width="10.5714285714286" style="5" customWidth="1"/>
    <col min="13" max="13" width="9.76190476190476" style="5"/>
    <col min="14" max="16384" width="8.88571428571429" style="5"/>
  </cols>
  <sheetData>
    <row r="1" s="1" customFormat="1" ht="23" customHeight="1" spans="1:12">
      <c r="A1" s="6" t="s">
        <v>418</v>
      </c>
      <c r="B1" s="7"/>
      <c r="C1" s="7"/>
      <c r="D1" s="7"/>
      <c r="E1" s="7"/>
      <c r="F1" s="7"/>
      <c r="G1" s="6" t="s">
        <v>418</v>
      </c>
      <c r="H1" s="7"/>
      <c r="I1" s="7"/>
      <c r="J1" s="7"/>
      <c r="K1" s="7"/>
      <c r="L1" s="7"/>
    </row>
    <row r="2" s="2" customFormat="1" ht="24" customHeight="1" spans="1:12">
      <c r="L2" s="8" t="s">
        <v>419</v>
      </c>
    </row>
    <row r="3" s="2" customFormat="1" ht="33" customHeight="1" spans="1:12">
      <c r="A3" s="2" t="str">
        <f>国有资本经营预算财政拨款支出决算表!A3</f>
        <v>部门：岳阳县自然资源局</v>
      </c>
      <c r="L3" s="8" t="s">
        <v>3</v>
      </c>
    </row>
    <row r="4" s="3" customFormat="1" ht="33" customHeight="1" spans="1:12">
      <c r="A4" s="9" t="s">
        <v>420</v>
      </c>
      <c r="B4" s="10" t="s">
        <v>5</v>
      </c>
      <c r="C4" s="10" t="s">
        <v>5</v>
      </c>
      <c r="D4" s="10" t="s">
        <v>239</v>
      </c>
      <c r="E4" s="10" t="s">
        <v>5</v>
      </c>
      <c r="F4" s="10" t="s">
        <v>5</v>
      </c>
      <c r="G4" s="10" t="s">
        <v>241</v>
      </c>
      <c r="H4" s="10" t="s">
        <v>5</v>
      </c>
      <c r="I4" s="10" t="s">
        <v>5</v>
      </c>
      <c r="J4" s="10" t="s">
        <v>5</v>
      </c>
      <c r="K4" s="10" t="s">
        <v>5</v>
      </c>
      <c r="L4" s="10" t="s">
        <v>5</v>
      </c>
    </row>
    <row r="5" s="3" customFormat="1" ht="33" customHeight="1" spans="1:12">
      <c r="A5" s="11" t="s">
        <v>130</v>
      </c>
      <c r="B5" s="12" t="s">
        <v>421</v>
      </c>
      <c r="C5" s="12" t="s">
        <v>422</v>
      </c>
      <c r="D5" s="12" t="s">
        <v>240</v>
      </c>
      <c r="E5" s="12" t="s">
        <v>119</v>
      </c>
      <c r="F5" s="12" t="s">
        <v>423</v>
      </c>
      <c r="G5" s="12" t="s">
        <v>130</v>
      </c>
      <c r="H5" s="12" t="s">
        <v>421</v>
      </c>
      <c r="I5" s="12" t="s">
        <v>422</v>
      </c>
      <c r="J5" s="12" t="s">
        <v>5</v>
      </c>
      <c r="K5" s="12" t="s">
        <v>5</v>
      </c>
      <c r="L5" s="12" t="s">
        <v>423</v>
      </c>
    </row>
    <row r="6" s="3" customFormat="1" ht="33" customHeight="1" spans="1:12">
      <c r="A6" s="11" t="s">
        <v>242</v>
      </c>
      <c r="B6" s="12" t="s">
        <v>243</v>
      </c>
      <c r="C6" s="13" t="s">
        <v>127</v>
      </c>
      <c r="D6" s="12" t="s">
        <v>424</v>
      </c>
      <c r="E6" s="12" t="s">
        <v>425</v>
      </c>
      <c r="F6" s="12" t="s">
        <v>5</v>
      </c>
      <c r="G6" s="12" t="s">
        <v>5</v>
      </c>
      <c r="H6" s="12" t="s">
        <v>5</v>
      </c>
      <c r="I6" s="12" t="s">
        <v>127</v>
      </c>
      <c r="J6" s="12" t="s">
        <v>424</v>
      </c>
      <c r="K6" s="12" t="s">
        <v>425</v>
      </c>
      <c r="L6" s="12" t="s">
        <v>5</v>
      </c>
    </row>
    <row r="7" s="3" customFormat="1" ht="33" customHeight="1" spans="1:12">
      <c r="A7" s="14" t="s">
        <v>11</v>
      </c>
      <c r="B7" s="15" t="s">
        <v>12</v>
      </c>
      <c r="C7" s="15" t="s">
        <v>20</v>
      </c>
      <c r="D7" s="15" t="s">
        <v>24</v>
      </c>
      <c r="E7" s="15" t="s">
        <v>28</v>
      </c>
      <c r="F7" s="15" t="s">
        <v>32</v>
      </c>
      <c r="G7" s="15" t="s">
        <v>36</v>
      </c>
      <c r="H7" s="15" t="s">
        <v>40</v>
      </c>
      <c r="I7" s="15" t="s">
        <v>43</v>
      </c>
      <c r="J7" s="15" t="s">
        <v>46</v>
      </c>
      <c r="K7" s="15" t="s">
        <v>49</v>
      </c>
      <c r="L7" s="15" t="s">
        <v>52</v>
      </c>
    </row>
    <row r="8" s="4" customFormat="1" ht="33" customHeight="1" spans="1:12">
      <c r="A8" s="16">
        <f>B8+C8+F8</f>
        <v>14.57</v>
      </c>
      <c r="B8" s="16">
        <v>0</v>
      </c>
      <c r="C8" s="16">
        <f>D8+E8</f>
        <v>0</v>
      </c>
      <c r="D8" s="16">
        <v>0</v>
      </c>
      <c r="E8" s="16">
        <v>0</v>
      </c>
      <c r="F8" s="16">
        <f>145700/10000</f>
        <v>14.57</v>
      </c>
      <c r="G8" s="16">
        <f>H8+I8+L8</f>
        <v>14.0358</v>
      </c>
      <c r="H8" s="16">
        <v>0</v>
      </c>
      <c r="I8" s="16">
        <f>J8+K8</f>
        <v>0</v>
      </c>
      <c r="J8" s="16">
        <v>0</v>
      </c>
      <c r="K8" s="16">
        <v>0</v>
      </c>
      <c r="L8" s="16">
        <f>140358/10000</f>
        <v>14.0358</v>
      </c>
    </row>
    <row r="9" s="2" customFormat="1" ht="40" customHeight="1" spans="1:12">
      <c r="A9" s="17" t="s">
        <v>426</v>
      </c>
      <c r="B9" s="17" t="s">
        <v>5</v>
      </c>
      <c r="C9" s="17" t="s">
        <v>5</v>
      </c>
      <c r="D9" s="17" t="s">
        <v>5</v>
      </c>
      <c r="E9" s="17" t="s">
        <v>5</v>
      </c>
      <c r="F9" s="17" t="s">
        <v>5</v>
      </c>
      <c r="G9" s="17" t="s">
        <v>5</v>
      </c>
      <c r="H9" s="17" t="s">
        <v>5</v>
      </c>
      <c r="I9" s="17" t="s">
        <v>5</v>
      </c>
      <c r="J9" s="17" t="s">
        <v>5</v>
      </c>
      <c r="K9" s="17" t="s">
        <v>5</v>
      </c>
      <c r="L9" s="17" t="s">
        <v>5</v>
      </c>
    </row>
    <row r="10" ht="20.75" customHeight="1" spans="1:12">
      <c r="A10" s="18" t="s">
        <v>5</v>
      </c>
      <c r="B10" s="18" t="s">
        <v>5</v>
      </c>
      <c r="C10" s="18" t="s">
        <v>5</v>
      </c>
      <c r="D10" s="18" t="s">
        <v>5</v>
      </c>
      <c r="E10" s="18" t="s">
        <v>5</v>
      </c>
      <c r="F10" s="18" t="s">
        <v>5</v>
      </c>
      <c r="G10" s="18" t="s">
        <v>5</v>
      </c>
      <c r="H10" s="18" t="s">
        <v>5</v>
      </c>
      <c r="I10" s="18" t="s">
        <v>5</v>
      </c>
      <c r="J10" s="18" t="s">
        <v>5</v>
      </c>
      <c r="K10" s="18" t="s">
        <v>5</v>
      </c>
      <c r="L10" s="18" t="s">
        <v>5</v>
      </c>
    </row>
    <row r="12" spans="1:12">
      <c r="G12" s="19" t="s">
        <v>427</v>
      </c>
    </row>
  </sheetData>
  <mergeCells count="55">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10:L10"/>
    <mergeCell ref="A10:L10"/>
    <mergeCell ref="A10:L10"/>
    <mergeCell ref="A10:L10"/>
    <mergeCell ref="A10:L10"/>
    <mergeCell ref="A10:L10"/>
    <mergeCell ref="A10:L10"/>
    <mergeCell ref="A10:L10"/>
    <mergeCell ref="A10:L10"/>
    <mergeCell ref="A10:L10"/>
    <mergeCell ref="A10:L10"/>
    <mergeCell ref="A10:L10"/>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赵娓</cp:lastModifiedBy>
  <dcterms:created xsi:type="dcterms:W3CDTF">2023-09-22T08:45:00Z</dcterms:created>
  <dcterms:modified xsi:type="dcterms:W3CDTF">2025-11-19T03:23:12Z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FE802DDD12CB4974B325A3DAFC39D2EC_13</vt:lpwstr>
  </property>
  <property fmtid="{D5CDD505-2E9C-101B-9397-08002B2CF9AE}" pid="3" name="KSOProductBuildVer">
    <vt:lpwstr>2052-12.1.0.23542</vt:lpwstr>
  </property>
</Properties>
</file>